
<file path=[Content_Types].xml><?xml version="1.0" encoding="utf-8"?>
<Types xmlns="http://schemas.openxmlformats.org/package/2006/content-types">
  <Default Extension="xml" ContentType="application/xml"/>
  <Default Extension="vml" ContentType="application/vnd.openxmlformats-officedocument.vmlDrawing"/>
  <Default Extension="jpeg" ContentType="image/jpeg"/>
  <Default Extension="JPG" ContentType="image/.jpg"/>
  <Default Extension="gif" ContentType="image/gif"/>
  <Default Extension="png" ContentType="image/png"/>
  <Default Extension="rels" ContentType="application/vnd.openxmlformats-package.relationships+xml"/>
  <Override PartName="/customXml/itemProps1.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trlProps/ctrlProp1.xml" ContentType="application/vnd.ms-excel.controlproperti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workbookProtection workbookAlgorithmName="SHA-512" workbookHashValue="tJMU8R9c0VKfb39+SPkKNlIuE1NSdkH4aIQIFDLp6r4LoBn3G/n1Yo3CPawD1hQFg/hK8GKi2GRiQ0bCWoyAQw==" workbookSaltValue="6RbOUe9274EjTZSL04n8Rg==" workbookSpinCount="100000" lockStructure="1"/>
  <bookViews>
    <workbookView windowWidth="20490" windowHeight="7620"/>
  </bookViews>
  <sheets>
    <sheet name="Design Converter" sheetId="1" r:id="rId1"/>
    <sheet name="Licenses" sheetId="10" r:id="rId2"/>
    <sheet name="Variable_Management" sheetId="2" state="hidden" r:id="rId3"/>
    <sheet name="Eff_vs_IOUT" sheetId="4" state="hidden" r:id="rId4"/>
    <sheet name="Loop_Modeling" sheetId="5" state="hidden" r:id="rId5"/>
    <sheet name="Constants" sheetId="3" state="hidden" r:id="rId6"/>
    <sheet name="Plot_Management_Eff" sheetId="6" state="hidden" r:id="rId7"/>
    <sheet name="Plot_Management_Sch" sheetId="7" state="hidden" r:id="rId8"/>
    <sheet name="Lists" sheetId="8" state="hidden" r:id="rId9"/>
  </sheets>
  <definedNames>
    <definedName name="Acs">Constants!$B$30</definedName>
    <definedName name="Adc">Loop_Modeling!$B$34</definedName>
    <definedName name="Adc_ea">Loop_Modeling!$B$58</definedName>
    <definedName name="ADC_VINmin">Variable_Management!$B$178</definedName>
    <definedName name="Cac">Variable_Management!$B$132</definedName>
    <definedName name="Cac_min">Variable_Management!$B$131</definedName>
    <definedName name="CCOMP">Variable_Management!$B$238</definedName>
    <definedName name="CCOMP_Calc">Variable_Management!$B$237</definedName>
    <definedName name="CCOMP_calc_CCM">Variable_Management!$B$207</definedName>
    <definedName name="CCOMP_CALC_DCM">Variable_Management!$B$228</definedName>
    <definedName name="CHF">Variable_Management!$B$240</definedName>
    <definedName name="CHF_calc">Variable_Management!$B$239</definedName>
    <definedName name="CHF_CALC_CCM">Variable_Management!$B$208</definedName>
    <definedName name="CHF_CALC_DCM">Variable_Management!$B$229</definedName>
    <definedName name="Comp_calc_CCM">Variable_Management!$B$207</definedName>
    <definedName name="Cout">Variable_Management!$B$144</definedName>
    <definedName name="Cout_min">Variable_Management!$B$142</definedName>
    <definedName name="D_limit_max">Constants!$B$18</definedName>
    <definedName name="D_limit_min">Constants!$B$16</definedName>
    <definedName name="D_limit_nom">Constants!$B$17</definedName>
    <definedName name="DC_DCM_max">Variable_Management!$B$32</definedName>
    <definedName name="Dc_max_IC">Variable_Management!$B$20</definedName>
    <definedName name="Dc_max_ideal">Variable_Management!$A$19</definedName>
    <definedName name="DC_rip">Variable_Management!#REF!</definedName>
    <definedName name="Dc_rip_max">Variable_Management!#REF!</definedName>
    <definedName name="Dc_VIN_max">Variable_Management!$B$87</definedName>
    <definedName name="Dc_VIN_min">Variable_Management!$B$53</definedName>
    <definedName name="Dc_VIN_nom">Variable_Management!$B$70</definedName>
    <definedName name="DC_VIN_Var">Loop_Modeling!$B$18</definedName>
    <definedName name="DC_VIN_var_DCM">Loop_Modeling!$B$66</definedName>
    <definedName name="EFF_est">Variable_Management!$B$17</definedName>
    <definedName name="Eff_vs_IOUT">Plot_Management_Eff!$C$3</definedName>
    <definedName name="fcross">Variable_Management!$B$233</definedName>
    <definedName name="fcross_est">Variable_Management!$B$232</definedName>
    <definedName name="fp_ea_est">Variable_Management!$B$202</definedName>
    <definedName name="Fsw">Variable_Management!$B$10</definedName>
    <definedName name="fz_ea_est">Variable_Management!$B$201</definedName>
    <definedName name="fz_rhp">Variable_Management!$B$187</definedName>
    <definedName name="Gcomp">Constants!$B$29</definedName>
    <definedName name="Gea_mid_calc">Variable_Management!#REF!</definedName>
    <definedName name="gfs">Variable_Management!$B$256</definedName>
    <definedName name="gm_ea">Constants!$B$34</definedName>
    <definedName name="Gplant_fc_dB">Loop_Modeling!$AD$7</definedName>
    <definedName name="IIN_33">Variable_Management!#REF!</definedName>
    <definedName name="IL_coupled">Variable_Management!$B$24</definedName>
    <definedName name="IL_pk">Variable_Management!$B$122</definedName>
    <definedName name="IL_pk_max">Variable_Management!$B$123</definedName>
    <definedName name="ILA_avg_VIN_max">Variable_Management!$B$90</definedName>
    <definedName name="ILA_avg_VIN_min">Variable_Management!$B$56</definedName>
    <definedName name="ILA_avg_VIN_nom">Variable_Management!$B$73</definedName>
    <definedName name="ILAp_VINmax">Variable_Management!$B$92</definedName>
    <definedName name="ILAp_VINmin">Variable_Management!$B$58</definedName>
    <definedName name="ILAp_VINnom">Variable_Management!$B$75</definedName>
    <definedName name="ILArip_VINmax">Variable_Management!$B$91</definedName>
    <definedName name="ILArip_VINmin">Variable_Management!$B$57</definedName>
    <definedName name="ILArip_VINnom">Variable_Management!$B$74</definedName>
    <definedName name="ILB_avg_VIN_max">Variable_Management!$B$95</definedName>
    <definedName name="ILB_avg_VIN_min">Variable_Management!$B$61</definedName>
    <definedName name="ILB_avg_VIN_nom">Variable_Management!$B$78</definedName>
    <definedName name="ILBp_VIN_max">Variable_Management!$B$97</definedName>
    <definedName name="ILBp_VIN_min">Variable_Management!$B$63</definedName>
    <definedName name="ILBp_VIN_nom">Variable_Management!$B$80</definedName>
    <definedName name="ILBrip_VIN_max">Variable_Management!$B$96</definedName>
    <definedName name="ILBrip_VIN_nom">Variable_Management!$B$79</definedName>
    <definedName name="ILBrip_VINmin">Variable_Management!$B$62</definedName>
    <definedName name="ILrip">Variable_Management!$B$28</definedName>
    <definedName name="IOUT">Variable_Management!$B$14</definedName>
    <definedName name="IOUT_VAR">Loop_Modeling!$B$17</definedName>
    <definedName name="Ipk_margin">Variable_Management!$B$103</definedName>
    <definedName name="Ipk_selected">Variable_Management!$B$104</definedName>
    <definedName name="IQ">Constants!$B$48</definedName>
    <definedName name="IRMS_COUT">Variable_Management!$B$143</definedName>
    <definedName name="Isl">Constants!$B$25</definedName>
    <definedName name="Iss">Constants!$B$37</definedName>
    <definedName name="ISW_peak_VIN_min">Variable_Management!$B$66</definedName>
    <definedName name="ISW_peak_VIN_nom">Variable_Management!$B$83</definedName>
    <definedName name="Kslope">Variable_Management!$B$110</definedName>
    <definedName name="Lm">Variable_Management!$B$40</definedName>
    <definedName name="Lm_A">Variable_Management!$B$42</definedName>
    <definedName name="Lm_B">Variable_Management!$B$44</definedName>
    <definedName name="Lopt">Variable_Management!#REF!</definedName>
    <definedName name="Lopt_2">Variable_Management!$B$29</definedName>
    <definedName name="M_L_DCM">Variable_Management!$B$34</definedName>
    <definedName name="POUT">Variable_Management!$B$16</definedName>
    <definedName name="_xlnm.Print_Area" localSheetId="0">'Design Converter'!$A$1:$Z$102</definedName>
    <definedName name="Q">Loop_Modeling!$B$48</definedName>
    <definedName name="Q_VINmin">Variable_Management!$B$195</definedName>
    <definedName name="Qg_tot">Variable_Management!$B$251</definedName>
    <definedName name="Qgd">Variable_Management!$B$252</definedName>
    <definedName name="Qgs">Variable_Management!$B$253</definedName>
    <definedName name="Qrr">Variable_Management!$B$246</definedName>
    <definedName name="R_cs">Variable_Management!$B$118</definedName>
    <definedName name="R_sl">Variable_Management!$B$119</definedName>
    <definedName name="RCOMP">Variable_Management!$B$236</definedName>
    <definedName name="RCOMP_Calc">Variable_Management!$B$235</definedName>
    <definedName name="Rcomp_calc_CCM">Variable_Management!$B$206</definedName>
    <definedName name="RCOMP_CALC_DCM">Variable_Management!$B$227</definedName>
    <definedName name="Rcs_max">Variable_Management!$B$107</definedName>
    <definedName name="Rcs_w_sl">Variable_Management!$B$111</definedName>
    <definedName name="Rcs_wo_sl">Variable_Management!$B$108</definedName>
    <definedName name="Rdcr">Variable_Management!$B$46</definedName>
    <definedName name="RDS_on">Variable_Management!$B$250</definedName>
    <definedName name="Resr">Variable_Management!$B$145</definedName>
    <definedName name="RFBB">Variable_Management!$B$172</definedName>
    <definedName name="RFBB_calc">Variable_Management!$B$171</definedName>
    <definedName name="RFBT">Variable_Management!$B$170</definedName>
    <definedName name="Rgate">Variable_Management!$B$254</definedName>
    <definedName name="ROUT">Variable_Management!$B$15</definedName>
    <definedName name="Rsl_int">Constants!$B$26</definedName>
    <definedName name="RT">Variable_Management!$B$11</definedName>
    <definedName name="Ruvlo_bottom_calc">Variable_Management!$B$161</definedName>
    <definedName name="Ruvlo_top">Variable_Management!$B$160</definedName>
    <definedName name="Ruvlo_top_calc">Variable_Management!$B$159</definedName>
    <definedName name="SCH_1">Plot_Management_Sch!$B$2</definedName>
    <definedName name="Se_VINmin">Variable_Management!$B$191</definedName>
    <definedName name="Sn_VINmin">Variable_Management!$B$192</definedName>
    <definedName name="tf_sw">Variable_Management!$B$263</definedName>
    <definedName name="tr_sw">Variable_Management!$B$262</definedName>
    <definedName name="tss">Variable_Management!$B$150</definedName>
    <definedName name="UV_fall">Constants!$B$41</definedName>
    <definedName name="UV_I_hyst">Constants!$B$42</definedName>
    <definedName name="UV_rise">Constants!$B$40</definedName>
    <definedName name="Vcc">Constants!$B$45</definedName>
    <definedName name="Vcl">Constants!$B$27</definedName>
    <definedName name="VCrr">Variable_Management!$B$130</definedName>
    <definedName name="Vd_rect">Variable_Management!$B$245</definedName>
    <definedName name="VIN_33">Variable_Management!#REF!</definedName>
    <definedName name="VIN_max">Variable_Management!$B$9</definedName>
    <definedName name="VIN_min">Variable_Management!$B$7</definedName>
    <definedName name="VIN_nom">Variable_Management!$B$8</definedName>
    <definedName name="VIN_op_max">Constants!$B$52</definedName>
    <definedName name="VIN_op_min">Constants!$B$51</definedName>
    <definedName name="VIN_var">Loop_Modeling!$B$16</definedName>
    <definedName name="VOUT">Variable_Management!$B$13</definedName>
    <definedName name="Vout_rip_sel">Variable_Management!$B$140</definedName>
    <definedName name="Vref">Constants!$B$33</definedName>
    <definedName name="Vth">Variable_Management!$B$257</definedName>
    <definedName name="Vuvlo_off">Variable_Management!$B$155</definedName>
    <definedName name="Vuvlo_on">Variable_Management!$B$154</definedName>
    <definedName name="wp_lf">Loop_Modeling!$B$35</definedName>
    <definedName name="wp_lf_DCM">Loop_Modeling!$B$69</definedName>
    <definedName name="wp_lf_VINmin">Variable_Management!$B$180</definedName>
    <definedName name="wp0_ea">Loop_Modeling!$B$60</definedName>
    <definedName name="wp1_ea">Loop_Modeling!$B$61</definedName>
    <definedName name="wsl">Loop_Modeling!$B$47</definedName>
    <definedName name="wsl_VINmin">Variable_Management!$B$194</definedName>
    <definedName name="wz_ea">Loop_Modeling!$B$59</definedName>
    <definedName name="wz_esr">Loop_Modeling!$B$41</definedName>
    <definedName name="wz_esr_VINmin">Variable_Management!$B$183</definedName>
    <definedName name="wz_rhp">Loop_Modeling!$B$38</definedName>
    <definedName name="wz_RHP_VINmin">Variable_Management!$B$186</definedName>
    <definedName name="wz1_dcm">Loop_Modeling!$B$71</definedName>
    <definedName name="wz2_dcm">Loop_Modeling!$B$73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BMC-BCS</author>
  </authors>
  <commentList>
    <comment ref="A3" authorId="0">
      <text>
        <r>
          <rPr>
            <b/>
            <sz val="11"/>
            <color indexed="10"/>
            <rFont val="Tahoma"/>
            <charset val="134"/>
          </rPr>
          <t>Welcome to the LM34x8 Design Tool</t>
        </r>
        <r>
          <rPr>
            <sz val="9"/>
            <rFont val="Tahoma"/>
            <charset val="134"/>
          </rPr>
          <t xml:space="preserve">
This stand-alone tool facilitates and assists the power supply engineer with design of a DC-DC boost converter based on the LM34x8 SEPIC controller. As such, the user can expeditiously arrive at an optimized design by virtue of the following:
- Select components
- Optimize compensation values and pole/zero placement in terms of control loop stability using crossover frquency as a performance metric
- Inspect regulator efficiency and component power dissipation
- Analyze efficiency based on selected MOSFET, inductor and diode parameters
IMPORTANT: You must enable macros if Microsoft Excel asks as the file is being opened. U.S. English notation is used throughout. Make sure to input or select values in all of the yellow shaded cells even if a value already exists in that cell. Do not over write equations in cells, as this may result in calculation errors.
</t>
        </r>
      </text>
    </comment>
    <comment ref="G7" authorId="0">
      <text>
        <r>
          <rPr>
            <b/>
            <sz val="9"/>
            <rFont val="Tahoma"/>
            <charset val="134"/>
          </rPr>
          <t xml:space="preserve">Minimum Input Voltage:
</t>
        </r>
        <r>
          <rPr>
            <sz val="9"/>
            <rFont val="Tahoma"/>
            <charset val="134"/>
          </rPr>
          <t xml:space="preserve">Enter the minimum operating input voltage.
The LM34x8 VIN pin voltage operating range is 2.97V to 40V.
</t>
        </r>
        <r>
          <rPr>
            <b/>
            <sz val="9"/>
            <rFont val="Tahoma"/>
            <charset val="134"/>
          </rPr>
          <t xml:space="preserve">
</t>
        </r>
        <r>
          <rPr>
            <b/>
            <sz val="9"/>
            <color indexed="10"/>
            <rFont val="Tahoma"/>
            <charset val="134"/>
          </rPr>
          <t>The text in the cell is flagged red if:</t>
        </r>
        <r>
          <rPr>
            <b/>
            <sz val="9"/>
            <rFont val="Tahoma"/>
            <charset val="134"/>
          </rPr>
          <t xml:space="preserve">
</t>
        </r>
        <r>
          <rPr>
            <sz val="9"/>
            <rFont val="Tahoma"/>
            <charset val="134"/>
          </rPr>
          <t>-The input voltage is above 40V
-The input voltage is below 2.97V</t>
        </r>
      </text>
    </comment>
    <comment ref="G8" authorId="0">
      <text>
        <r>
          <rPr>
            <b/>
            <sz val="9"/>
            <rFont val="Tahoma"/>
            <charset val="134"/>
          </rPr>
          <t xml:space="preserve">Nominal Input Voltage:
</t>
        </r>
        <r>
          <rPr>
            <sz val="9"/>
            <rFont val="Tahoma"/>
            <charset val="134"/>
          </rPr>
          <t>Enter the nominal operating input voltage.
The LM34x8 input voltage operating range is 2.97V to 40V.</t>
        </r>
        <r>
          <rPr>
            <b/>
            <sz val="9"/>
            <rFont val="Tahoma"/>
            <charset val="134"/>
          </rPr>
          <t xml:space="preserve">
</t>
        </r>
        <r>
          <rPr>
            <b/>
            <sz val="9"/>
            <color indexed="10"/>
            <rFont val="Tahoma"/>
            <charset val="134"/>
          </rPr>
          <t>The text in the cell is flagged red if:</t>
        </r>
        <r>
          <rPr>
            <b/>
            <sz val="9"/>
            <rFont val="Tahoma"/>
            <charset val="134"/>
          </rPr>
          <t xml:space="preserve">
</t>
        </r>
        <r>
          <rPr>
            <sz val="9"/>
            <rFont val="Tahoma"/>
            <charset val="134"/>
          </rPr>
          <t>-The input voltage is above V</t>
        </r>
        <r>
          <rPr>
            <vertAlign val="subscript"/>
            <sz val="9"/>
            <rFont val="Tahoma"/>
            <charset val="134"/>
          </rPr>
          <t>SUPPLY</t>
        </r>
        <r>
          <rPr>
            <sz val="9"/>
            <rFont val="Tahoma"/>
            <charset val="134"/>
          </rPr>
          <t>(max)
-The input voltage is below V</t>
        </r>
        <r>
          <rPr>
            <vertAlign val="subscript"/>
            <sz val="9"/>
            <rFont val="Tahoma"/>
            <charset val="134"/>
          </rPr>
          <t>SUPPLY</t>
        </r>
        <r>
          <rPr>
            <sz val="9"/>
            <rFont val="Tahoma"/>
            <charset val="134"/>
          </rPr>
          <t>(min)</t>
        </r>
      </text>
    </comment>
    <comment ref="G9" authorId="0">
      <text>
        <r>
          <rPr>
            <b/>
            <sz val="9"/>
            <rFont val="Tahoma"/>
            <charset val="134"/>
          </rPr>
          <t>Maximum Input Voltage:</t>
        </r>
        <r>
          <rPr>
            <sz val="9"/>
            <rFont val="Tahoma"/>
            <charset val="134"/>
          </rPr>
          <t xml:space="preserve">
Enter the maximum operating input voltage.
The LM34x8 input voltage operating range is 2.97V to 40V.
</t>
        </r>
        <r>
          <rPr>
            <b/>
            <sz val="9"/>
            <color indexed="10"/>
            <rFont val="Tahoma"/>
            <charset val="134"/>
          </rPr>
          <t xml:space="preserve">
The text in the cell is flagged red if:</t>
        </r>
        <r>
          <rPr>
            <sz val="9"/>
            <rFont val="Tahoma"/>
            <charset val="134"/>
          </rPr>
          <t xml:space="preserve">
-The input voltage is above 40V
-The input voltage is below 2.97V</t>
        </r>
      </text>
    </comment>
    <comment ref="G10" authorId="0">
      <text>
        <r>
          <rPr>
            <b/>
            <sz val="9"/>
            <rFont val="Tahoma"/>
            <charset val="134"/>
          </rPr>
          <t>Output Voltage:</t>
        </r>
        <r>
          <rPr>
            <sz val="9"/>
            <rFont val="Tahoma"/>
            <charset val="134"/>
          </rPr>
          <t xml:space="preserve">
Enter the desired output voltage.
</t>
        </r>
      </text>
    </comment>
    <comment ref="G12" authorId="0">
      <text>
        <r>
          <rPr>
            <b/>
            <sz val="9"/>
            <rFont val="Tahoma"/>
            <charset val="134"/>
          </rPr>
          <t>Operating Frequency (set by FA/SD):</t>
        </r>
        <r>
          <rPr>
            <sz val="9"/>
            <rFont val="Tahoma"/>
            <charset val="134"/>
          </rPr>
          <t xml:space="preserve">
This cell defines the free-running switching frequency set by the RT resistor. 
</t>
        </r>
        <r>
          <rPr>
            <sz val="11"/>
            <color indexed="10"/>
            <rFont val="Calibri"/>
            <scheme val="minor"/>
            <charset val="0"/>
          </rPr>
          <t>The text in the cell is flagged red if:</t>
        </r>
        <r>
          <rPr>
            <sz val="9"/>
            <rFont val="Tahoma"/>
            <charset val="134"/>
          </rPr>
          <t xml:space="preserve">
-The frequency is below 100 kHz
-The frequency is above 1 MHz</t>
        </r>
      </text>
    </comment>
    <comment ref="G15" authorId="0">
      <text>
        <r>
          <rPr>
            <b/>
            <sz val="9"/>
            <rFont val="Tahoma"/>
            <charset val="134"/>
          </rPr>
          <t xml:space="preserve">Maximum duty cycle
</t>
        </r>
        <r>
          <rPr>
            <sz val="9"/>
            <rFont val="Tahoma"/>
            <charset val="134"/>
          </rPr>
          <t xml:space="preserve">The LM3478-88 has a maximum duty cycle of 100%.
The limits for the maximum duty cycle can not be specified since the part does not permit less than 100% maximum duty cycle operation
</t>
        </r>
      </text>
    </comment>
    <comment ref="G16" authorId="0">
      <text>
        <r>
          <rPr>
            <sz val="9"/>
            <color indexed="10"/>
            <rFont val="Tahoma"/>
            <charset val="134"/>
          </rPr>
          <t xml:space="preserve">
</t>
        </r>
        <r>
          <rPr>
            <b/>
            <sz val="9"/>
            <color indexed="10"/>
            <rFont val="Tahoma"/>
            <charset val="134"/>
          </rPr>
          <t>The text in the cell is flagged red if:</t>
        </r>
        <r>
          <rPr>
            <sz val="9"/>
            <rFont val="Tahoma"/>
            <charset val="134"/>
          </rPr>
          <t xml:space="preserve">
</t>
        </r>
        <r>
          <rPr>
            <b/>
            <sz val="9"/>
            <rFont val="Tahoma"/>
            <charset val="134"/>
          </rPr>
          <t>- Duty CCM duty cycle for the step up ratio is greater then the duty cycle limit of the LM34x8. For high step-up ratio designs the regulator can be configured to operate in discontinous conduction mode (DCM) to achieve the step up ratio.</t>
        </r>
      </text>
    </comment>
    <comment ref="G19" authorId="0">
      <text>
        <r>
          <rPr>
            <b/>
            <sz val="9"/>
            <rFont val="Tahoma"/>
            <charset val="134"/>
          </rPr>
          <t>CCM-DCM:</t>
        </r>
        <r>
          <rPr>
            <sz val="9"/>
            <rFont val="Tahoma"/>
            <charset val="134"/>
          </rPr>
          <t xml:space="preserve">
CCM = Continous Conduction Mode
DCM  = Discontinous Conduction Mode</t>
        </r>
      </text>
    </comment>
    <comment ref="G20" authorId="0">
      <text>
        <r>
          <rPr>
            <b/>
            <sz val="9"/>
            <rFont val="Tahoma"/>
            <charset val="134"/>
          </rPr>
          <t>Ripple Ratio</t>
        </r>
        <r>
          <rPr>
            <sz val="9"/>
            <rFont val="Tahoma"/>
            <charset val="134"/>
          </rPr>
          <t xml:space="preserve">
Select the maximum ripple ratio of the inductor current. The maximum ripple ratio occurs when the duty cycle is 33%. 
Typically a good maximum ripple current is in the 50% to 70% range. In this range there is a good trade off between efficiency and the minimum RHP zero frequency of the plant
If cell H19 is equal to 1, this input cell is not condsidered as DCM operation is required to achieve the desired ste-up ratio. For the case the maximum duty cycyle is set to be 70%.</t>
        </r>
      </text>
    </comment>
    <comment ref="G22" authorId="0">
      <text>
        <r>
          <rPr>
            <b/>
            <sz val="9"/>
            <rFont val="Tahoma"/>
            <charset val="134"/>
          </rPr>
          <t xml:space="preserve">Filter Inductance:
</t>
        </r>
        <r>
          <rPr>
            <sz val="9"/>
            <rFont val="Tahoma"/>
            <charset val="134"/>
          </rPr>
          <t xml:space="preserve">Enter the filter inductance here.
</t>
        </r>
      </text>
    </comment>
    <comment ref="G23" authorId="0">
      <text>
        <r>
          <rPr>
            <b/>
            <sz val="9"/>
            <rFont val="Tahoma"/>
            <charset val="134"/>
          </rPr>
          <t>Peak Inductor Current</t>
        </r>
        <r>
          <rPr>
            <sz val="9"/>
            <rFont val="Tahoma"/>
            <charset val="134"/>
          </rPr>
          <t xml:space="preserve">
Maximum peak inductor current during normal operation.  The peak current limit calculations are based on this value</t>
        </r>
      </text>
    </comment>
    <comment ref="G26" authorId="0">
      <text>
        <r>
          <rPr>
            <b/>
            <sz val="9"/>
            <rFont val="Tahoma"/>
            <charset val="134"/>
          </rPr>
          <t>Peak Current Limit Margin</t>
        </r>
        <r>
          <rPr>
            <sz val="9"/>
            <rFont val="Tahoma"/>
            <charset val="134"/>
          </rPr>
          <t xml:space="preserve">
Minimum value is 15%
Margin above the calculated peak inductor current. Margin must be given to allow for load transients and component tolerances.</t>
        </r>
      </text>
    </comment>
    <comment ref="G27" authorId="0">
      <text>
        <r>
          <rPr>
            <b/>
            <sz val="9"/>
            <rFont val="Tahoma"/>
            <charset val="134"/>
          </rPr>
          <t xml:space="preserve">Selected Peak Inductor Current Limt
</t>
        </r>
        <r>
          <rPr>
            <sz val="9"/>
            <rFont val="Tahoma"/>
            <charset val="134"/>
          </rPr>
          <t xml:space="preserve">
Peak inductor current limit based on the margin and the steady state peak inductor current at V</t>
        </r>
        <r>
          <rPr>
            <vertAlign val="subscript"/>
            <sz val="9"/>
            <rFont val="Tahoma"/>
            <charset val="134"/>
          </rPr>
          <t>IN_MIN</t>
        </r>
        <r>
          <rPr>
            <sz val="9"/>
            <rFont val="Tahoma"/>
            <charset val="134"/>
          </rPr>
          <t xml:space="preserve"> and maximum output current</t>
        </r>
      </text>
    </comment>
    <comment ref="G28" authorId="0">
      <text>
        <r>
          <rPr>
            <b/>
            <sz val="9"/>
            <rFont val="Tahoma"/>
            <charset val="134"/>
          </rPr>
          <t>Current Sense Resistor Calculation</t>
        </r>
        <r>
          <rPr>
            <sz val="9"/>
            <rFont val="Tahoma"/>
            <charset val="134"/>
          </rPr>
          <t xml:space="preserve">
Calculated current sense resistor based on the desired maximum peak current limit. 
</t>
        </r>
      </text>
    </comment>
    <comment ref="G40" authorId="0">
      <text>
        <r>
          <rPr>
            <sz val="11"/>
            <rFont val="Tahoma"/>
            <charset val="134"/>
          </rPr>
          <t>This is the desired load transient output voltage dip for the a 50% to 100% load step on the output.</t>
        </r>
        <r>
          <rPr>
            <sz val="9"/>
            <rFont val="Tahoma"/>
            <charset val="134"/>
          </rPr>
          <t xml:space="preserve">
</t>
        </r>
      </text>
    </comment>
    <comment ref="G59" authorId="0">
      <text>
        <r>
          <rPr>
            <b/>
            <sz val="9"/>
            <rFont val="Tahoma"/>
            <charset val="134"/>
          </rPr>
          <t xml:space="preserve">Changes the input voltage value. Allow for evaluation of the control loop ane efficiency at different input voltages.
</t>
        </r>
        <r>
          <rPr>
            <b/>
            <sz val="9"/>
            <color indexed="10"/>
            <rFont val="Tahoma"/>
            <charset val="134"/>
          </rPr>
          <t>The text in the cell is flagged red if:
-The variable input voltage is less than the minimum input voltage
-The variable input voltage is greater than the maximum input voltage</t>
        </r>
      </text>
    </comment>
  </commentList>
</comments>
</file>

<file path=xl/comments2.xml><?xml version="1.0" encoding="utf-8"?>
<comments xmlns="http://schemas.openxmlformats.org/spreadsheetml/2006/main">
  <authors>
    <author>BMC-BCS</author>
  </authors>
  <commentList>
    <comment ref="B21" authorId="0">
      <text>
        <r>
          <rPr>
            <b/>
            <sz val="9"/>
            <rFont val="Tahoma"/>
            <charset val="134"/>
          </rPr>
          <t xml:space="preserve">Forced off time limit? 
[1 True, 0 False]
Just comparing the maximum duty cycle of the IC and the ideal duty cycle of the step up ratio
</t>
        </r>
        <r>
          <rPr>
            <sz val="9"/>
            <rFont val="Tahoma"/>
            <charset val="134"/>
          </rPr>
          <t xml:space="preserve">
</t>
        </r>
      </text>
    </comment>
    <comment ref="K121" authorId="0">
      <text>
        <r>
          <rPr>
            <b/>
            <sz val="9"/>
            <rFont val="Tahoma"/>
            <charset val="134"/>
          </rPr>
          <t xml:space="preserve">Slope Compensation flag. If this flag is tripped there is not enough slope compensation. Double check the calculated values. 
</t>
        </r>
        <r>
          <rPr>
            <sz val="9"/>
            <rFont val="Tahoma"/>
            <charset val="134"/>
          </rPr>
          <t xml:space="preserve">
</t>
        </r>
      </text>
    </comment>
    <comment ref="K122" authorId="0">
      <text>
        <r>
          <rPr>
            <sz val="9"/>
            <rFont val="Tahoma"/>
            <charset val="134"/>
          </rPr>
          <t xml:space="preserve">Tripped if the current sense resistor results in a lower current limit
</t>
        </r>
      </text>
    </comment>
  </commentList>
</comments>
</file>

<file path=xl/comments3.xml><?xml version="1.0" encoding="utf-8"?>
<comments xmlns="http://schemas.openxmlformats.org/spreadsheetml/2006/main">
  <authors>
    <author>BMC-BCS</author>
  </authors>
  <commentList>
    <comment ref="V6" authorId="0">
      <text>
        <r>
          <rPr>
            <b/>
            <sz val="9"/>
            <rFont val="Tahoma"/>
            <charset val="134"/>
          </rPr>
          <t xml:space="preserve">1 = DCM operation
2 = CCM operation
</t>
        </r>
      </text>
    </comment>
    <comment ref="AG6" authorId="0">
      <text>
        <r>
          <rPr>
            <b/>
            <sz val="9"/>
            <rFont val="Tahoma"/>
            <charset val="134"/>
          </rPr>
          <t>BMC-BCS:</t>
        </r>
        <r>
          <rPr>
            <sz val="9"/>
            <rFont val="Tahoma"/>
            <charset val="134"/>
          </rPr>
          <t xml:space="preserve">
Estimating uisng Average current. Needs to be updated for RMS current
</t>
        </r>
      </text>
    </comment>
    <comment ref="AK6" authorId="0">
      <text>
        <r>
          <rPr>
            <b/>
            <sz val="9"/>
            <rFont val="Tahoma"/>
            <charset val="134"/>
          </rPr>
          <t>BMC-BCS:</t>
        </r>
        <r>
          <rPr>
            <sz val="9"/>
            <rFont val="Tahoma"/>
            <charset val="134"/>
          </rPr>
          <t xml:space="preserve">
Written for boost. Needs to be updated but no big rush
</t>
        </r>
      </text>
    </comment>
  </commentList>
</comments>
</file>

<file path=xl/comments4.xml><?xml version="1.0" encoding="utf-8"?>
<comments xmlns="http://schemas.openxmlformats.org/spreadsheetml/2006/main">
  <authors>
    <author>BMC-BCS</author>
  </authors>
  <commentList>
    <comment ref="O18" authorId="0">
      <text>
        <r>
          <rPr>
            <b/>
            <sz val="9"/>
            <rFont val="Tahoma"/>
            <charset val="134"/>
          </rPr>
          <t>BMC-BCS:</t>
        </r>
        <r>
          <rPr>
            <sz val="9"/>
            <rFont val="Tahoma"/>
            <charset val="134"/>
          </rPr>
          <t xml:space="preserve">
Need to make this log not linear at some point
</t>
        </r>
      </text>
    </comment>
  </commentList>
</comments>
</file>

<file path=xl/sharedStrings.xml><?xml version="1.0" encoding="utf-8"?>
<sst xmlns="http://schemas.openxmlformats.org/spreadsheetml/2006/main" count="983" uniqueCount="574">
  <si>
    <t>LM3478-88 DC/DC Coupled Inductor SEPIC Controller Design Tool</t>
  </si>
  <si>
    <t>ABOUT</t>
  </si>
  <si>
    <t>=Input Box</t>
  </si>
  <si>
    <t>TERMS OF USE</t>
  </si>
  <si>
    <t>October-2024</t>
  </si>
  <si>
    <t>Step 1: Design Specifications</t>
  </si>
  <si>
    <r>
      <rPr>
        <sz val="10"/>
        <color theme="1"/>
        <rFont val="Calibri"/>
        <charset val="134"/>
        <scheme val="minor"/>
      </rPr>
      <t>Minimum Input Supply Voltage , V</t>
    </r>
    <r>
      <rPr>
        <vertAlign val="subscript"/>
        <sz val="10"/>
        <color theme="1"/>
        <rFont val="Calibri"/>
        <charset val="134"/>
        <scheme val="minor"/>
      </rPr>
      <t>SUPPLY(min)</t>
    </r>
    <r>
      <rPr>
        <sz val="10"/>
        <color theme="1"/>
        <rFont val="Calibri"/>
        <charset val="134"/>
        <scheme val="minor"/>
      </rPr>
      <t xml:space="preserve"> </t>
    </r>
  </si>
  <si>
    <t>V</t>
  </si>
  <si>
    <r>
      <rPr>
        <sz val="10"/>
        <color theme="1"/>
        <rFont val="Calibri"/>
        <charset val="134"/>
        <scheme val="minor"/>
      </rPr>
      <t>Typical Input Supply Voltage, V</t>
    </r>
    <r>
      <rPr>
        <vertAlign val="subscript"/>
        <sz val="10"/>
        <color theme="1"/>
        <rFont val="Calibri"/>
        <charset val="134"/>
        <scheme val="minor"/>
      </rPr>
      <t>SUPPLY(typ)</t>
    </r>
    <r>
      <rPr>
        <sz val="10"/>
        <color theme="1"/>
        <rFont val="Calibri"/>
        <charset val="134"/>
        <scheme val="minor"/>
      </rPr>
      <t xml:space="preserve"> </t>
    </r>
  </si>
  <si>
    <r>
      <rPr>
        <sz val="10"/>
        <color theme="1"/>
        <rFont val="Calibri"/>
        <charset val="134"/>
        <scheme val="minor"/>
      </rPr>
      <t>Maximum Input Supply Voltage , V</t>
    </r>
    <r>
      <rPr>
        <vertAlign val="subscript"/>
        <sz val="10"/>
        <color theme="1"/>
        <rFont val="Calibri"/>
        <charset val="134"/>
        <scheme val="minor"/>
      </rPr>
      <t>SUPPLY(max)</t>
    </r>
    <r>
      <rPr>
        <sz val="10"/>
        <color theme="1"/>
        <rFont val="Calibri"/>
        <charset val="134"/>
        <scheme val="minor"/>
      </rPr>
      <t xml:space="preserve"> </t>
    </r>
  </si>
  <si>
    <r>
      <rPr>
        <sz val="10"/>
        <color theme="1"/>
        <rFont val="Calibri"/>
        <charset val="134"/>
        <scheme val="minor"/>
      </rPr>
      <t>Output Target Voltage, V</t>
    </r>
    <r>
      <rPr>
        <vertAlign val="subscript"/>
        <sz val="10"/>
        <color theme="1"/>
        <rFont val="Calibri"/>
        <charset val="134"/>
        <scheme val="minor"/>
      </rPr>
      <t>LOAD</t>
    </r>
    <r>
      <rPr>
        <sz val="10"/>
        <color theme="1"/>
        <rFont val="Calibri"/>
        <charset val="134"/>
        <scheme val="minor"/>
      </rPr>
      <t xml:space="preserve"> </t>
    </r>
  </si>
  <si>
    <r>
      <rPr>
        <sz val="10"/>
        <color theme="1"/>
        <rFont val="Calibri"/>
        <charset val="134"/>
        <scheme val="minor"/>
      </rPr>
      <t>Maximum Output Current , I</t>
    </r>
    <r>
      <rPr>
        <vertAlign val="subscript"/>
        <sz val="10"/>
        <color theme="1"/>
        <rFont val="Calibri"/>
        <charset val="134"/>
        <scheme val="minor"/>
      </rPr>
      <t>LOAD</t>
    </r>
    <r>
      <rPr>
        <sz val="10"/>
        <color theme="1"/>
        <rFont val="Calibri"/>
        <charset val="134"/>
        <scheme val="minor"/>
      </rPr>
      <t xml:space="preserve"> </t>
    </r>
  </si>
  <si>
    <t>A</t>
  </si>
  <si>
    <r>
      <rPr>
        <sz val="10"/>
        <color theme="1"/>
        <rFont val="Calibri"/>
        <charset val="134"/>
        <scheme val="minor"/>
      </rPr>
      <t>Free Running Switching Frequency, F</t>
    </r>
    <r>
      <rPr>
        <vertAlign val="subscript"/>
        <sz val="10"/>
        <color theme="1"/>
        <rFont val="Calibri"/>
        <charset val="134"/>
        <scheme val="minor"/>
      </rPr>
      <t>SW</t>
    </r>
  </si>
  <si>
    <t>kHz</t>
  </si>
  <si>
    <r>
      <rPr>
        <sz val="10"/>
        <color theme="1"/>
        <rFont val="Calibri"/>
        <charset val="134"/>
        <scheme val="minor"/>
      </rPr>
      <t>Free running Oscillator Set Resistor, R</t>
    </r>
    <r>
      <rPr>
        <vertAlign val="subscript"/>
        <sz val="10"/>
        <color theme="1"/>
        <rFont val="Calibri"/>
        <charset val="134"/>
        <scheme val="minor"/>
      </rPr>
      <t>T</t>
    </r>
  </si>
  <si>
    <r>
      <rPr>
        <sz val="11"/>
        <color theme="1"/>
        <rFont val="Calibri"/>
        <charset val="134"/>
        <scheme val="minor"/>
      </rPr>
      <t>k</t>
    </r>
    <r>
      <rPr>
        <sz val="11"/>
        <color theme="1"/>
        <rFont val="Calibri"/>
        <charset val="134"/>
      </rPr>
      <t>Ω</t>
    </r>
  </si>
  <si>
    <r>
      <rPr>
        <sz val="10"/>
        <color theme="1"/>
        <rFont val="Calibri"/>
        <charset val="134"/>
        <scheme val="minor"/>
      </rPr>
      <t>Output Power, P</t>
    </r>
    <r>
      <rPr>
        <vertAlign val="subscript"/>
        <sz val="10"/>
        <color theme="1"/>
        <rFont val="Calibri"/>
        <charset val="134"/>
        <scheme val="minor"/>
      </rPr>
      <t>OUT</t>
    </r>
    <r>
      <rPr>
        <sz val="10"/>
        <color theme="1"/>
        <rFont val="Calibri"/>
        <charset val="134"/>
        <scheme val="minor"/>
      </rPr>
      <t xml:space="preserve"> </t>
    </r>
  </si>
  <si>
    <t>W</t>
  </si>
  <si>
    <r>
      <rPr>
        <sz val="10"/>
        <color theme="1"/>
        <rFont val="Calibri"/>
        <charset val="134"/>
        <scheme val="minor"/>
      </rPr>
      <t>Recommended maximum duty cycle LM3478-88 at V</t>
    </r>
    <r>
      <rPr>
        <vertAlign val="subscript"/>
        <sz val="10"/>
        <color theme="1"/>
        <rFont val="Calibri"/>
        <charset val="134"/>
        <scheme val="minor"/>
      </rPr>
      <t>SUPPLY(MIN)</t>
    </r>
  </si>
  <si>
    <t>%</t>
  </si>
  <si>
    <r>
      <rPr>
        <sz val="10"/>
        <color theme="1"/>
        <rFont val="Calibri"/>
        <charset val="134"/>
        <scheme val="minor"/>
      </rPr>
      <t>Ideal Duty Cycle at V</t>
    </r>
    <r>
      <rPr>
        <vertAlign val="subscript"/>
        <sz val="10"/>
        <color theme="1"/>
        <rFont val="Calibri"/>
        <charset val="134"/>
        <scheme val="minor"/>
      </rPr>
      <t xml:space="preserve">SUPPLY(MIN) </t>
    </r>
  </si>
  <si>
    <t>Step 2: Filter Inductor</t>
  </si>
  <si>
    <t>Required Mode of Operation:</t>
  </si>
  <si>
    <r>
      <rPr>
        <sz val="10"/>
        <color theme="1"/>
        <rFont val="Calibri"/>
        <charset val="134"/>
        <scheme val="minor"/>
      </rPr>
      <t>Desired Maximum Inductor Current Ripple Ratio (I</t>
    </r>
    <r>
      <rPr>
        <vertAlign val="subscript"/>
        <sz val="10"/>
        <color theme="1"/>
        <rFont val="Calibri"/>
        <charset val="134"/>
        <scheme val="minor"/>
      </rPr>
      <t>RR_MAX</t>
    </r>
    <r>
      <rPr>
        <sz val="10"/>
        <color theme="1"/>
        <rFont val="Calibri"/>
        <charset val="134"/>
        <scheme val="minor"/>
      </rPr>
      <t>)</t>
    </r>
  </si>
  <si>
    <r>
      <rPr>
        <sz val="10"/>
        <color theme="1"/>
        <rFont val="Calibri"/>
        <charset val="134"/>
        <scheme val="minor"/>
      </rPr>
      <t>Recommended Inductance (L</t>
    </r>
    <r>
      <rPr>
        <vertAlign val="subscript"/>
        <sz val="10"/>
        <color theme="1"/>
        <rFont val="Calibri"/>
        <charset val="134"/>
        <scheme val="minor"/>
      </rPr>
      <t>M_CALC</t>
    </r>
    <r>
      <rPr>
        <sz val="10"/>
        <color theme="1"/>
        <rFont val="Calibri"/>
        <charset val="134"/>
        <scheme val="minor"/>
      </rPr>
      <t>)</t>
    </r>
  </si>
  <si>
    <t>uH</t>
  </si>
  <si>
    <r>
      <rPr>
        <sz val="10"/>
        <color theme="1"/>
        <rFont val="Calibri"/>
        <charset val="134"/>
        <scheme val="minor"/>
      </rPr>
      <t>User Selection. Inductance, (L</t>
    </r>
    <r>
      <rPr>
        <vertAlign val="subscript"/>
        <sz val="10"/>
        <color theme="1"/>
        <rFont val="Calibri"/>
        <charset val="134"/>
        <scheme val="minor"/>
      </rPr>
      <t>M</t>
    </r>
    <r>
      <rPr>
        <sz val="10"/>
        <color theme="1"/>
        <rFont val="Calibri"/>
        <charset val="134"/>
        <scheme val="minor"/>
      </rPr>
      <t>)</t>
    </r>
  </si>
  <si>
    <r>
      <rPr>
        <sz val="10"/>
        <color theme="1"/>
        <rFont val="Calibri"/>
        <charset val="134"/>
        <scheme val="minor"/>
      </rPr>
      <t>Peak inductor current, IL</t>
    </r>
    <r>
      <rPr>
        <vertAlign val="subscript"/>
        <sz val="10"/>
        <color theme="1"/>
        <rFont val="Calibri"/>
        <charset val="134"/>
        <scheme val="minor"/>
      </rPr>
      <t>PK</t>
    </r>
  </si>
  <si>
    <t>Step 3: Current Sense Resistor Selection</t>
  </si>
  <si>
    <t>Peak Current Limit Margin</t>
  </si>
  <si>
    <r>
      <rPr>
        <sz val="11"/>
        <color theme="1"/>
        <rFont val="Calibri"/>
        <charset val="134"/>
        <scheme val="minor"/>
      </rPr>
      <t>Selected Peak Current limit (IL</t>
    </r>
    <r>
      <rPr>
        <vertAlign val="subscript"/>
        <sz val="11"/>
        <color theme="1"/>
        <rFont val="Calibri"/>
        <charset val="134"/>
        <scheme val="minor"/>
      </rPr>
      <t>SW_select</t>
    </r>
    <r>
      <rPr>
        <sz val="11"/>
        <color theme="1"/>
        <rFont val="Calibri"/>
        <charset val="134"/>
        <scheme val="minor"/>
      </rPr>
      <t>)</t>
    </r>
  </si>
  <si>
    <r>
      <rPr>
        <sz val="11"/>
        <color theme="1"/>
        <rFont val="Calibri"/>
        <charset val="134"/>
        <scheme val="minor"/>
      </rPr>
      <t>Recommended current sense Resistor (R</t>
    </r>
    <r>
      <rPr>
        <vertAlign val="subscript"/>
        <sz val="11"/>
        <color theme="1"/>
        <rFont val="Calibri"/>
        <charset val="134"/>
        <scheme val="minor"/>
      </rPr>
      <t>S</t>
    </r>
    <r>
      <rPr>
        <sz val="11"/>
        <color theme="1"/>
        <rFont val="Calibri"/>
        <charset val="134"/>
        <scheme val="minor"/>
      </rPr>
      <t>)</t>
    </r>
  </si>
  <si>
    <r>
      <rPr>
        <sz val="11"/>
        <color theme="1"/>
        <rFont val="Calibri"/>
        <charset val="134"/>
        <scheme val="minor"/>
      </rPr>
      <t>m</t>
    </r>
    <r>
      <rPr>
        <sz val="11"/>
        <color theme="1"/>
        <rFont val="Calibri"/>
        <charset val="134"/>
      </rPr>
      <t>Ω</t>
    </r>
  </si>
  <si>
    <r>
      <rPr>
        <sz val="11"/>
        <color theme="1"/>
        <rFont val="Calibri"/>
        <charset val="134"/>
        <scheme val="minor"/>
      </rPr>
      <t>Recommended external slope compensation Resistor (R</t>
    </r>
    <r>
      <rPr>
        <vertAlign val="subscript"/>
        <sz val="11"/>
        <color theme="1"/>
        <rFont val="Calibri"/>
        <charset val="134"/>
        <scheme val="minor"/>
      </rPr>
      <t>SL</t>
    </r>
    <r>
      <rPr>
        <sz val="11"/>
        <color theme="1"/>
        <rFont val="Calibri"/>
        <charset val="134"/>
        <scheme val="minor"/>
      </rPr>
      <t>)</t>
    </r>
  </si>
  <si>
    <t>Ω</t>
  </si>
  <si>
    <r>
      <rPr>
        <sz val="11"/>
        <color theme="1"/>
        <rFont val="Calibri"/>
        <charset val="134"/>
        <scheme val="minor"/>
      </rPr>
      <t>Selected current sense Resistor (R</t>
    </r>
    <r>
      <rPr>
        <vertAlign val="subscript"/>
        <sz val="11"/>
        <color theme="1"/>
        <rFont val="Calibri"/>
        <charset val="134"/>
        <scheme val="minor"/>
      </rPr>
      <t>S</t>
    </r>
    <r>
      <rPr>
        <sz val="11"/>
        <color theme="1"/>
        <rFont val="Calibri"/>
        <charset val="134"/>
        <scheme val="minor"/>
      </rPr>
      <t>)</t>
    </r>
  </si>
  <si>
    <r>
      <rPr>
        <sz val="11"/>
        <color theme="1"/>
        <rFont val="Calibri"/>
        <charset val="134"/>
        <scheme val="minor"/>
      </rPr>
      <t>Selected external slope compensation Resistor (R</t>
    </r>
    <r>
      <rPr>
        <vertAlign val="subscript"/>
        <sz val="11"/>
        <color theme="1"/>
        <rFont val="Calibri"/>
        <charset val="134"/>
        <scheme val="minor"/>
      </rPr>
      <t>SL</t>
    </r>
    <r>
      <rPr>
        <sz val="11"/>
        <color theme="1"/>
        <rFont val="Calibri"/>
        <charset val="134"/>
        <scheme val="minor"/>
      </rPr>
      <t>)</t>
    </r>
  </si>
  <si>
    <t>Actual switch peak current limit</t>
  </si>
  <si>
    <r>
      <rPr>
        <b/>
        <sz val="11"/>
        <color rgb="FF0070C0"/>
        <rFont val="Calibri"/>
        <charset val="134"/>
        <scheme val="minor"/>
      </rPr>
      <t>Step 4: C</t>
    </r>
    <r>
      <rPr>
        <b/>
        <vertAlign val="subscript"/>
        <sz val="11"/>
        <color rgb="FF0070C0"/>
        <rFont val="Calibri"/>
        <charset val="134"/>
        <scheme val="minor"/>
      </rPr>
      <t>AC</t>
    </r>
    <r>
      <rPr>
        <b/>
        <sz val="11"/>
        <color rgb="FF0070C0"/>
        <rFont val="Calibri"/>
        <charset val="134"/>
        <scheme val="minor"/>
      </rPr>
      <t xml:space="preserve"> Capacitor Selection</t>
    </r>
  </si>
  <si>
    <r>
      <rPr>
        <sz val="11"/>
        <color theme="1"/>
        <rFont val="Calibri"/>
        <charset val="134"/>
        <scheme val="minor"/>
      </rPr>
      <t>Minimum couplpling capacitor value (C</t>
    </r>
    <r>
      <rPr>
        <vertAlign val="subscript"/>
        <sz val="11"/>
        <color theme="1"/>
        <rFont val="Calibri"/>
        <charset val="134"/>
        <scheme val="minor"/>
      </rPr>
      <t>AC_min</t>
    </r>
    <r>
      <rPr>
        <sz val="11"/>
        <color theme="1"/>
        <rFont val="Calibri"/>
        <charset val="134"/>
        <scheme val="minor"/>
      </rPr>
      <t>)</t>
    </r>
  </si>
  <si>
    <t>uF</t>
  </si>
  <si>
    <r>
      <rPr>
        <sz val="11"/>
        <color theme="1"/>
        <rFont val="Calibri"/>
        <charset val="134"/>
        <scheme val="minor"/>
      </rPr>
      <t>Selected Coupling Capacitor (C</t>
    </r>
    <r>
      <rPr>
        <vertAlign val="subscript"/>
        <sz val="11"/>
        <color theme="1"/>
        <rFont val="Calibri"/>
        <charset val="134"/>
        <scheme val="minor"/>
      </rPr>
      <t>AC</t>
    </r>
    <r>
      <rPr>
        <sz val="11"/>
        <color theme="1"/>
        <rFont val="Calibri"/>
        <charset val="134"/>
        <scheme val="minor"/>
      </rPr>
      <t>)</t>
    </r>
  </si>
  <si>
    <r>
      <rPr>
        <sz val="11"/>
        <color theme="1"/>
        <rFont val="Calibri"/>
        <charset val="134"/>
        <scheme val="minor"/>
      </rPr>
      <t>Minimuum require C</t>
    </r>
    <r>
      <rPr>
        <vertAlign val="subscript"/>
        <sz val="11"/>
        <color theme="1"/>
        <rFont val="Calibri"/>
        <charset val="134"/>
        <scheme val="minor"/>
      </rPr>
      <t>AC</t>
    </r>
    <r>
      <rPr>
        <sz val="11"/>
        <color theme="1"/>
        <rFont val="Calibri"/>
        <charset val="134"/>
        <scheme val="minor"/>
      </rPr>
      <t xml:space="preserve"> RMS current Rating</t>
    </r>
  </si>
  <si>
    <t>Step 5: Output Capacitor Selection</t>
  </si>
  <si>
    <r>
      <rPr>
        <sz val="11"/>
        <color theme="1"/>
        <rFont val="Calibri"/>
        <charset val="134"/>
        <scheme val="minor"/>
      </rPr>
      <t>Desired load step ripple voltage (</t>
    </r>
    <r>
      <rPr>
        <sz val="11"/>
        <color theme="1"/>
        <rFont val="Calibri"/>
        <charset val="134"/>
      </rPr>
      <t>Δv</t>
    </r>
    <r>
      <rPr>
        <vertAlign val="subscript"/>
        <sz val="11"/>
        <color theme="1"/>
        <rFont val="Calibri"/>
        <charset val="134"/>
      </rPr>
      <t>OUT</t>
    </r>
    <r>
      <rPr>
        <sz val="11"/>
        <color theme="1"/>
        <rFont val="Calibri"/>
        <charset val="134"/>
      </rPr>
      <t>)</t>
    </r>
  </si>
  <si>
    <t>mV</t>
  </si>
  <si>
    <t xml:space="preserve">Minimum output capacitance </t>
  </si>
  <si>
    <r>
      <rPr>
        <sz val="11"/>
        <color theme="1"/>
        <rFont val="Calibri"/>
        <charset val="134"/>
        <scheme val="minor"/>
      </rPr>
      <t>Capacitor RMS current (I</t>
    </r>
    <r>
      <rPr>
        <vertAlign val="subscript"/>
        <sz val="11"/>
        <color theme="1"/>
        <rFont val="Calibri"/>
        <charset val="134"/>
        <scheme val="minor"/>
      </rPr>
      <t>RMS_COUT</t>
    </r>
    <r>
      <rPr>
        <sz val="11"/>
        <color theme="1"/>
        <rFont val="Calibri"/>
        <charset val="134"/>
        <scheme val="minor"/>
      </rPr>
      <t>)</t>
    </r>
  </si>
  <si>
    <r>
      <rPr>
        <sz val="11"/>
        <color theme="1"/>
        <rFont val="Calibri"/>
        <charset val="134"/>
        <scheme val="minor"/>
      </rPr>
      <t>Selected Output Capacitance (C</t>
    </r>
    <r>
      <rPr>
        <vertAlign val="subscript"/>
        <sz val="11"/>
        <color theme="1"/>
        <rFont val="Calibri"/>
        <charset val="134"/>
        <scheme val="minor"/>
      </rPr>
      <t>OUT</t>
    </r>
    <r>
      <rPr>
        <sz val="11"/>
        <color theme="1"/>
        <rFont val="Calibri"/>
        <charset val="134"/>
        <scheme val="minor"/>
      </rPr>
      <t>)</t>
    </r>
  </si>
  <si>
    <r>
      <rPr>
        <sz val="11"/>
        <color theme="1"/>
        <rFont val="Calibri"/>
        <charset val="134"/>
        <scheme val="minor"/>
      </rPr>
      <t>Equivalent  COUT ESR (R</t>
    </r>
    <r>
      <rPr>
        <vertAlign val="subscript"/>
        <sz val="11"/>
        <color theme="1"/>
        <rFont val="Calibri"/>
        <charset val="134"/>
        <scheme val="minor"/>
      </rPr>
      <t>ESR</t>
    </r>
    <r>
      <rPr>
        <sz val="11"/>
        <color theme="1"/>
        <rFont val="Calibri"/>
        <charset val="134"/>
        <scheme val="minor"/>
      </rPr>
      <t>)</t>
    </r>
  </si>
  <si>
    <t>Step  6: Loop Compensation</t>
  </si>
  <si>
    <r>
      <rPr>
        <sz val="11"/>
        <rFont val="Calibri"/>
        <charset val="134"/>
        <scheme val="minor"/>
      </rPr>
      <t>Voltage selected (V</t>
    </r>
    <r>
      <rPr>
        <vertAlign val="subscript"/>
        <sz val="11"/>
        <rFont val="Calibri"/>
        <charset val="134"/>
        <scheme val="minor"/>
      </rPr>
      <t>IN_VAR</t>
    </r>
    <r>
      <rPr>
        <sz val="11"/>
        <rFont val="Calibri"/>
        <charset val="134"/>
        <scheme val="minor"/>
      </rPr>
      <t>)</t>
    </r>
  </si>
  <si>
    <t>Feedback Resistor Selection</t>
  </si>
  <si>
    <r>
      <rPr>
        <sz val="11"/>
        <color theme="1"/>
        <rFont val="Calibri"/>
        <charset val="134"/>
        <scheme val="minor"/>
      </rPr>
      <t>Select a top feedback resistor(R</t>
    </r>
    <r>
      <rPr>
        <vertAlign val="subscript"/>
        <sz val="11"/>
        <color theme="1"/>
        <rFont val="Calibri"/>
        <charset val="134"/>
        <scheme val="minor"/>
      </rPr>
      <t>FBT</t>
    </r>
    <r>
      <rPr>
        <sz val="11"/>
        <color theme="1"/>
        <rFont val="Calibri"/>
        <charset val="134"/>
        <scheme val="minor"/>
      </rPr>
      <t>)</t>
    </r>
  </si>
  <si>
    <t>kΩ</t>
  </si>
  <si>
    <r>
      <rPr>
        <sz val="11"/>
        <color theme="1"/>
        <rFont val="Calibri"/>
        <charset val="134"/>
        <scheme val="minor"/>
      </rPr>
      <t>Calculated bottom feedback resistor (R</t>
    </r>
    <r>
      <rPr>
        <vertAlign val="subscript"/>
        <sz val="11"/>
        <color theme="1"/>
        <rFont val="Calibri"/>
        <charset val="134"/>
        <scheme val="minor"/>
      </rPr>
      <t>FBB_cala</t>
    </r>
    <r>
      <rPr>
        <sz val="11"/>
        <color theme="1"/>
        <rFont val="Calibri"/>
        <charset val="134"/>
        <scheme val="minor"/>
      </rPr>
      <t>)</t>
    </r>
  </si>
  <si>
    <r>
      <rPr>
        <sz val="11"/>
        <color theme="1"/>
        <rFont val="Calibri"/>
        <charset val="134"/>
        <scheme val="minor"/>
      </rPr>
      <t>Select a bottomresistor based on calculated balue(R</t>
    </r>
    <r>
      <rPr>
        <vertAlign val="subscript"/>
        <sz val="11"/>
        <color theme="1"/>
        <rFont val="Calibri"/>
        <charset val="134"/>
        <scheme val="minor"/>
      </rPr>
      <t>FBB</t>
    </r>
    <r>
      <rPr>
        <sz val="11"/>
        <color theme="1"/>
        <rFont val="Calibri"/>
        <charset val="134"/>
        <scheme val="minor"/>
      </rPr>
      <t>)</t>
    </r>
  </si>
  <si>
    <t>Suggested bandwidth</t>
  </si>
  <si>
    <r>
      <rPr>
        <sz val="11"/>
        <color theme="1"/>
        <rFont val="Calibri"/>
        <charset val="134"/>
        <scheme val="minor"/>
      </rPr>
      <t>Selected band width (F</t>
    </r>
    <r>
      <rPr>
        <vertAlign val="subscript"/>
        <sz val="11"/>
        <color theme="1"/>
        <rFont val="Calibri"/>
        <charset val="134"/>
        <scheme val="minor"/>
      </rPr>
      <t>CO</t>
    </r>
    <r>
      <rPr>
        <sz val="11"/>
        <color theme="1"/>
        <rFont val="Calibri"/>
        <charset val="134"/>
        <scheme val="minor"/>
      </rPr>
      <t>)</t>
    </r>
  </si>
  <si>
    <t>Calculated</t>
  </si>
  <si>
    <t>Selected</t>
  </si>
  <si>
    <r>
      <rPr>
        <sz val="11"/>
        <color theme="1"/>
        <rFont val="Calibri"/>
        <charset val="134"/>
        <scheme val="minor"/>
      </rPr>
      <t>R</t>
    </r>
    <r>
      <rPr>
        <vertAlign val="subscript"/>
        <sz val="11"/>
        <color theme="1"/>
        <rFont val="Calibri"/>
        <charset val="134"/>
        <scheme val="minor"/>
      </rPr>
      <t>COMP</t>
    </r>
  </si>
  <si>
    <r>
      <rPr>
        <sz val="11"/>
        <color theme="1"/>
        <rFont val="Calibri"/>
        <charset val="134"/>
        <scheme val="minor"/>
      </rPr>
      <t>C</t>
    </r>
    <r>
      <rPr>
        <vertAlign val="subscript"/>
        <sz val="11"/>
        <color theme="1"/>
        <rFont val="Calibri"/>
        <charset val="134"/>
        <scheme val="minor"/>
      </rPr>
      <t>COMP</t>
    </r>
  </si>
  <si>
    <t>nF</t>
  </si>
  <si>
    <r>
      <rPr>
        <sz val="11"/>
        <color theme="1"/>
        <rFont val="Calibri"/>
        <charset val="134"/>
        <scheme val="minor"/>
      </rPr>
      <t>C</t>
    </r>
    <r>
      <rPr>
        <vertAlign val="subscript"/>
        <sz val="11"/>
        <color theme="1"/>
        <rFont val="Calibri"/>
        <charset val="134"/>
        <scheme val="minor"/>
      </rPr>
      <t>HF</t>
    </r>
  </si>
  <si>
    <t>pF</t>
  </si>
  <si>
    <t>Efficiency / Power Loss Analyzer</t>
  </si>
  <si>
    <t>MOSFET parameters</t>
  </si>
  <si>
    <r>
      <rPr>
        <sz val="10"/>
        <rFont val="Arial"/>
        <charset val="134"/>
      </rPr>
      <t>On-State Resistance, R</t>
    </r>
    <r>
      <rPr>
        <vertAlign val="subscript"/>
        <sz val="10"/>
        <rFont val="Arial"/>
        <charset val="134"/>
      </rPr>
      <t>DS(on)</t>
    </r>
    <r>
      <rPr>
        <sz val="10"/>
        <rFont val="Arial"/>
        <charset val="134"/>
      </rPr>
      <t xml:space="preserve"> </t>
    </r>
  </si>
  <si>
    <t>mΩ</t>
  </si>
  <si>
    <r>
      <rPr>
        <sz val="10"/>
        <rFont val="Arial"/>
        <charset val="134"/>
      </rPr>
      <t>Total Gate Charge, Q</t>
    </r>
    <r>
      <rPr>
        <vertAlign val="subscript"/>
        <sz val="10"/>
        <rFont val="Arial"/>
        <charset val="134"/>
      </rPr>
      <t>G</t>
    </r>
    <r>
      <rPr>
        <sz val="10"/>
        <rFont val="Arial"/>
        <charset val="134"/>
      </rPr>
      <t xml:space="preserve"> </t>
    </r>
  </si>
  <si>
    <t>nC</t>
  </si>
  <si>
    <r>
      <rPr>
        <sz val="10"/>
        <rFont val="Arial"/>
        <charset val="134"/>
      </rPr>
      <t>Gate-Drain Charge, Q</t>
    </r>
    <r>
      <rPr>
        <vertAlign val="subscript"/>
        <sz val="10"/>
        <rFont val="Arial"/>
        <charset val="134"/>
      </rPr>
      <t>GD</t>
    </r>
    <r>
      <rPr>
        <sz val="10"/>
        <rFont val="Arial"/>
        <charset val="134"/>
      </rPr>
      <t xml:space="preserve"> </t>
    </r>
  </si>
  <si>
    <r>
      <rPr>
        <sz val="10"/>
        <rFont val="Arial"/>
        <charset val="134"/>
      </rPr>
      <t>Gate-Source Charge, Q</t>
    </r>
    <r>
      <rPr>
        <vertAlign val="subscript"/>
        <sz val="10"/>
        <rFont val="Arial"/>
        <charset val="134"/>
      </rPr>
      <t>GS</t>
    </r>
    <r>
      <rPr>
        <sz val="10"/>
        <rFont val="Arial"/>
        <charset val="134"/>
      </rPr>
      <t xml:space="preserve"> </t>
    </r>
  </si>
  <si>
    <r>
      <rPr>
        <sz val="10"/>
        <rFont val="Arial"/>
        <charset val="134"/>
      </rPr>
      <t>Gate Resistance, R</t>
    </r>
    <r>
      <rPr>
        <vertAlign val="subscript"/>
        <sz val="10"/>
        <rFont val="Arial"/>
        <charset val="134"/>
      </rPr>
      <t>G</t>
    </r>
    <r>
      <rPr>
        <sz val="10"/>
        <rFont val="Arial"/>
        <charset val="134"/>
      </rPr>
      <t xml:space="preserve"> </t>
    </r>
  </si>
  <si>
    <t>Ω</t>
  </si>
  <si>
    <r>
      <rPr>
        <sz val="10"/>
        <rFont val="Arial"/>
        <charset val="134"/>
      </rPr>
      <t>Transconductance, g</t>
    </r>
    <r>
      <rPr>
        <vertAlign val="subscript"/>
        <sz val="10"/>
        <rFont val="Arial"/>
        <charset val="134"/>
      </rPr>
      <t>FS</t>
    </r>
    <r>
      <rPr>
        <sz val="10"/>
        <rFont val="Arial"/>
        <charset val="134"/>
      </rPr>
      <t xml:space="preserve"> </t>
    </r>
  </si>
  <si>
    <t>S</t>
  </si>
  <si>
    <r>
      <rPr>
        <sz val="10"/>
        <rFont val="Arial"/>
        <charset val="134"/>
      </rPr>
      <t>Gate-Source Threshold Voltage, V</t>
    </r>
    <r>
      <rPr>
        <vertAlign val="subscript"/>
        <sz val="10"/>
        <rFont val="Arial"/>
        <charset val="134"/>
      </rPr>
      <t>TH</t>
    </r>
    <r>
      <rPr>
        <sz val="10"/>
        <rFont val="Arial"/>
        <charset val="134"/>
      </rPr>
      <t xml:space="preserve"> </t>
    </r>
  </si>
  <si>
    <t>Diode Parameters</t>
  </si>
  <si>
    <r>
      <rPr>
        <sz val="11"/>
        <color theme="1"/>
        <rFont val="Calibri"/>
        <charset val="134"/>
        <scheme val="minor"/>
      </rPr>
      <t>Recommended minimum average current rating (I</t>
    </r>
    <r>
      <rPr>
        <vertAlign val="subscript"/>
        <sz val="11"/>
        <color theme="1"/>
        <rFont val="Calibri"/>
        <charset val="134"/>
        <scheme val="minor"/>
      </rPr>
      <t>D_AVG</t>
    </r>
    <r>
      <rPr>
        <sz val="11"/>
        <color theme="1"/>
        <rFont val="Calibri"/>
        <charset val="134"/>
        <scheme val="minor"/>
      </rPr>
      <t>)</t>
    </r>
  </si>
  <si>
    <r>
      <rPr>
        <sz val="11"/>
        <color theme="1"/>
        <rFont val="Calibri"/>
        <charset val="134"/>
        <scheme val="minor"/>
      </rPr>
      <t>Forward Voltage Drop (V</t>
    </r>
    <r>
      <rPr>
        <vertAlign val="subscript"/>
        <sz val="11"/>
        <color theme="1"/>
        <rFont val="Calibri"/>
        <charset val="134"/>
        <scheme val="minor"/>
      </rPr>
      <t>D</t>
    </r>
    <r>
      <rPr>
        <sz val="11"/>
        <color theme="1"/>
        <rFont val="Calibri"/>
        <charset val="134"/>
        <scheme val="minor"/>
      </rPr>
      <t>)</t>
    </r>
  </si>
  <si>
    <t>Reverse recovery charge of Schottky  Diode (QRR)</t>
  </si>
  <si>
    <t>Version Number</t>
  </si>
  <si>
    <t>1.0.0</t>
  </si>
  <si>
    <t>Version History</t>
  </si>
  <si>
    <t>Version</t>
  </si>
  <si>
    <t>Change List Description</t>
  </si>
  <si>
    <t>Initial Release</t>
  </si>
  <si>
    <t>EXCEL Variables Names/Calculations</t>
  </si>
  <si>
    <t>Input from user =</t>
  </si>
  <si>
    <t>Output =</t>
  </si>
  <si>
    <t xml:space="preserve">Base Calculations of </t>
  </si>
  <si>
    <t>Spec conditions</t>
  </si>
  <si>
    <t>Nominal right now</t>
  </si>
  <si>
    <t>Constant</t>
  </si>
  <si>
    <t>Variable Name</t>
  </si>
  <si>
    <t>Value</t>
  </si>
  <si>
    <t>STD Units</t>
  </si>
  <si>
    <t>Notes</t>
  </si>
  <si>
    <t>Iteration</t>
  </si>
  <si>
    <t>Flag</t>
  </si>
  <si>
    <t>Step 1: Operational Specs</t>
  </si>
  <si>
    <t>VIN_min</t>
  </si>
  <si>
    <t>Minimum input voltage</t>
  </si>
  <si>
    <t>VIN_nom</t>
  </si>
  <si>
    <t>Nominal input voltage</t>
  </si>
  <si>
    <t>VIN_max</t>
  </si>
  <si>
    <t>Maximum input voltage</t>
  </si>
  <si>
    <t>Fsw</t>
  </si>
  <si>
    <t>Hz</t>
  </si>
  <si>
    <t xml:space="preserve">Switching frequnecy </t>
  </si>
  <si>
    <t>RT</t>
  </si>
  <si>
    <t>Oscillator Set resistor. Based on the datasheet equation</t>
  </si>
  <si>
    <t>VOUT</t>
  </si>
  <si>
    <t>Target Output Voltage</t>
  </si>
  <si>
    <t>IOUT</t>
  </si>
  <si>
    <t>Maximum Output current</t>
  </si>
  <si>
    <t>ROUT</t>
  </si>
  <si>
    <t>Minimum load resistance</t>
  </si>
  <si>
    <t>POUT</t>
  </si>
  <si>
    <t>Total output power</t>
  </si>
  <si>
    <t>EFF_est</t>
  </si>
  <si>
    <t xml:space="preserve">Estimated efficiency. Assuming 95% to give some margin </t>
  </si>
  <si>
    <t>Dc_max_ideal</t>
  </si>
  <si>
    <t>Maximum duty cycle at the minimum input voltage. Includes estimated efficiency for margin</t>
  </si>
  <si>
    <t>Dc_max_IC</t>
  </si>
  <si>
    <t>Maximum IC duty cycle. Based on the forced off time. See Mathcad Calculations</t>
  </si>
  <si>
    <t>DCM_Flag</t>
  </si>
  <si>
    <t>Is discontinuous conduction mode required to achieve step up ratio?</t>
  </si>
  <si>
    <t>*Note right now DCM is not active for SEPIC calculations</t>
  </si>
  <si>
    <t>IL_coupled</t>
  </si>
  <si>
    <r>
      <rPr>
        <sz val="11"/>
        <color theme="1"/>
        <rFont val="Calibri"/>
        <charset val="134"/>
        <scheme val="minor"/>
      </rPr>
      <t xml:space="preserve">are the inductors coupled? (1 = Yes, 0 = No). </t>
    </r>
    <r>
      <rPr>
        <b/>
        <sz val="11"/>
        <color theme="1"/>
        <rFont val="Calibri"/>
        <charset val="134"/>
        <scheme val="minor"/>
      </rPr>
      <t>This will be an option in future revisions</t>
    </r>
  </si>
  <si>
    <t>CCM Operation calculations</t>
  </si>
  <si>
    <t>Calculate the inductor at nominal voltage. This should allow for the best efficiency</t>
  </si>
  <si>
    <t>ILrip</t>
  </si>
  <si>
    <t>Selected indutor ripple ratio. Will be changed later to a standard value just to keep things simple</t>
  </si>
  <si>
    <t>Lopt_2</t>
  </si>
  <si>
    <t>H</t>
  </si>
  <si>
    <t>This value used to make the selection for CCM calculations. This is done at the Nominal input voltage</t>
  </si>
  <si>
    <t>DCM Strategy</t>
  </si>
  <si>
    <t>"Currently this is set of a boost Converter. Will need to change when Supporting DCM Calculation</t>
  </si>
  <si>
    <t>DC_DCM_max</t>
  </si>
  <si>
    <t>Maximum duty cycle for DCM operation. 70% is a good starting point. Could be related to the switching frequency</t>
  </si>
  <si>
    <t>L_DCM_DC</t>
  </si>
  <si>
    <t>Select DCM duty cycle to be 70%. This will keep the ripple current fairly low and allow for efficiency drops.</t>
  </si>
  <si>
    <t>M_L_DCM</t>
  </si>
  <si>
    <t>Margin to allow for inductor ripple current to be greater than the average input current</t>
  </si>
  <si>
    <t>L_DCM_M</t>
  </si>
  <si>
    <t xml:space="preserve">Inductor value that ensures the ripple current is larger than the average input current </t>
  </si>
  <si>
    <t>L_DCM</t>
  </si>
  <si>
    <t>Select the lowest of the two inductor value calculations</t>
  </si>
  <si>
    <t>Lm_calc</t>
  </si>
  <si>
    <t>If DCM is required (high step-up ratio) output L_DCM. Otherwise output the CCM inductor value</t>
  </si>
  <si>
    <t>Lm</t>
  </si>
  <si>
    <t>Selected filter inductor</t>
  </si>
  <si>
    <t>Input from user for uncoupled design</t>
  </si>
  <si>
    <t>Lm_A</t>
  </si>
  <si>
    <t>Input coil inductance</t>
  </si>
  <si>
    <t>Lm_B</t>
  </si>
  <si>
    <t>Output coil inductance</t>
  </si>
  <si>
    <t>Rdcr</t>
  </si>
  <si>
    <t>Filter inductor DCR</t>
  </si>
  <si>
    <t>Ltol</t>
  </si>
  <si>
    <t>Assumed inductor tolerance. Constant to help simplify the user experience</t>
  </si>
  <si>
    <t>.</t>
  </si>
  <si>
    <t>Duty Cycle Calculations</t>
  </si>
  <si>
    <t>Minium input voltage</t>
  </si>
  <si>
    <t>DCc_mode_VIN_min</t>
  </si>
  <si>
    <r>
      <rPr>
        <sz val="11"/>
        <color theme="1"/>
        <rFont val="Calibri"/>
        <charset val="134"/>
        <scheme val="minor"/>
      </rPr>
      <t xml:space="preserve">Flags if the regulator is operating in CCM or DCM (1 = CCM, 0 = DCM). </t>
    </r>
    <r>
      <rPr>
        <b/>
        <sz val="11"/>
        <color theme="1"/>
        <rFont val="Calibri"/>
        <charset val="134"/>
        <scheme val="minor"/>
      </rPr>
      <t>*Currently set to CCM all the time to enusure the calculations are correct for CCM</t>
    </r>
  </si>
  <si>
    <t>Dc_VIN_min</t>
  </si>
  <si>
    <t>Duty cycle at the mimum input voltage (CCM). DCM is modeled for coupled inductor equations. Needs to me modeld of uncoupled inductors</t>
  </si>
  <si>
    <t>s</t>
  </si>
  <si>
    <t>On-time of the switch</t>
  </si>
  <si>
    <t>Input coil currents</t>
  </si>
  <si>
    <t>ILA_avg_VIN_min</t>
  </si>
  <si>
    <t>Average input current at minimum input voltage. 100% Eff assumed</t>
  </si>
  <si>
    <t>ILArip_VINmin</t>
  </si>
  <si>
    <t xml:space="preserve">Inductor ripple current at VIN min. </t>
  </si>
  <si>
    <t>ILAp_VINmin</t>
  </si>
  <si>
    <t>Peak inductor current at VIN min. Including estimated efficiency</t>
  </si>
  <si>
    <t>Output coil currents</t>
  </si>
  <si>
    <t>Outout coil inductor calculations</t>
  </si>
  <si>
    <t>ILB_avg_VIN_min</t>
  </si>
  <si>
    <t>ILBrip_VINmin</t>
  </si>
  <si>
    <t>ILBp_VINmin</t>
  </si>
  <si>
    <t>Switch currents</t>
  </si>
  <si>
    <t>ISW_peak_VIN_min</t>
  </si>
  <si>
    <t>DCc_mode_VIN_nom</t>
  </si>
  <si>
    <t>Flags if the regulator is operating in CCM or DCM (1 = CCM, 0 = DCM)</t>
  </si>
  <si>
    <t>Dc_VIN_nom</t>
  </si>
  <si>
    <t>Duty cycle at the nominal input voltage (CCM) (First order/ ideal equation)</t>
  </si>
  <si>
    <t>ILA_avg_VIN_nom</t>
  </si>
  <si>
    <t>Average input current at nominal input voltage. 100% Eff assumed</t>
  </si>
  <si>
    <t>ILArip_VINnom</t>
  </si>
  <si>
    <t xml:space="preserve">Inductor ripple current at VIN nom. </t>
  </si>
  <si>
    <t>ILAp_VINnom</t>
  </si>
  <si>
    <t>Peak inductor current at VIN nom. Including estimated efficiency</t>
  </si>
  <si>
    <t>ILB_avg_VIN_nom</t>
  </si>
  <si>
    <t>ILBrip_VIN_nom</t>
  </si>
  <si>
    <t>ILBp_VIN_nom</t>
  </si>
  <si>
    <t>ISW_peak_VIN_nom</t>
  </si>
  <si>
    <t>DCc_mode_VIN_max</t>
  </si>
  <si>
    <t>Dc_VIN_max</t>
  </si>
  <si>
    <t>Duty cycle at the maximum input voltage (CCM) (First order/ ideal equation)</t>
  </si>
  <si>
    <t>ILA_avg_VIN_max</t>
  </si>
  <si>
    <t>Average input current at maximum input voltage. 100% Eff assumed</t>
  </si>
  <si>
    <t>ILArip_VINmax</t>
  </si>
  <si>
    <t xml:space="preserve">Inductor ripple current at VIN max. </t>
  </si>
  <si>
    <t>ILAp_VINmax</t>
  </si>
  <si>
    <t>Peak inductor current at VIN max. Including estimated efficiency</t>
  </si>
  <si>
    <t>ILB_avg_VIN_max</t>
  </si>
  <si>
    <t>ILBrip_VIN_max</t>
  </si>
  <si>
    <t>ILBp_VIN_max</t>
  </si>
  <si>
    <t>ISW_peak_VIN_max</t>
  </si>
  <si>
    <t>Step 3: Current Sense Resistor</t>
  </si>
  <si>
    <t>Ipk_margin</t>
  </si>
  <si>
    <t>Peak current limit margin. 20% is a typical value</t>
  </si>
  <si>
    <t>Ipk_selected</t>
  </si>
  <si>
    <t>Selected peak current limit based on margin selection</t>
  </si>
  <si>
    <t>Rcs_sl_ratio</t>
  </si>
  <si>
    <t>ratio of down slope to slope compensation. This can be updated to give more margin</t>
  </si>
  <si>
    <t>Rcs_max</t>
  </si>
  <si>
    <t>Maximum Rcs based on internal slope compensation. Assuming slope ratio of 1/2</t>
  </si>
  <si>
    <t>Rcs_wo_sl</t>
  </si>
  <si>
    <t>Current sense resistor without slope compensation</t>
  </si>
  <si>
    <t>Rcs_ext_sl_ratio</t>
  </si>
  <si>
    <t>External Slope compensation ratio. Constant to provide a dead beat response</t>
  </si>
  <si>
    <t>Rcs_w_sl</t>
  </si>
  <si>
    <t>Calculated current sense resistor with slope compensation included</t>
  </si>
  <si>
    <t>R_sl_ext</t>
  </si>
  <si>
    <t>Calculated external slope compensation resistor</t>
  </si>
  <si>
    <t>Flag_ext_sl</t>
  </si>
  <si>
    <t>External Compensation? (0-no, 1-yes), Only accurate for CCM as DCM doesn't need slope compensation</t>
  </si>
  <si>
    <t>R_cs_calc</t>
  </si>
  <si>
    <t>Current Sense Resistor calculated, id DCM this is going to be the value calculated without slope compensation</t>
  </si>
  <si>
    <t>R_sl_calc</t>
  </si>
  <si>
    <t>External slope compensation resistor, if DCM operation the external slope compensation is not needed. Should b 0 Ohm</t>
  </si>
  <si>
    <t>R_cs</t>
  </si>
  <si>
    <t>Selected current sense Resistor</t>
  </si>
  <si>
    <t>R_sl</t>
  </si>
  <si>
    <t>Selected external slope compensation</t>
  </si>
  <si>
    <t>sl_vin_min</t>
  </si>
  <si>
    <t>V/V</t>
  </si>
  <si>
    <t>Check to make sure that slope compensation is high enough at the minimum input voltage</t>
  </si>
  <si>
    <t>IL_pk</t>
  </si>
  <si>
    <t>Peak current limit at the minimum input voltage</t>
  </si>
  <si>
    <t>IL_pk_max</t>
  </si>
  <si>
    <t>Peak inductor current limit for saturation rating.  VIN max due to the possibility of external slope comp</t>
  </si>
  <si>
    <t>sat_mar</t>
  </si>
  <si>
    <t>Margin for saturation current of the inductor</t>
  </si>
  <si>
    <t>IL_sat</t>
  </si>
  <si>
    <t>Recommended Saturation current rating of the selected inductor</t>
  </si>
  <si>
    <t>COMP voltage Limit checks</t>
  </si>
  <si>
    <t>Step 4: AC capacitor selection</t>
  </si>
  <si>
    <t>VCrr</t>
  </si>
  <si>
    <t>Cac_min</t>
  </si>
  <si>
    <t>F</t>
  </si>
  <si>
    <t>Calculated for CCM operation assuming coupled inductors</t>
  </si>
  <si>
    <t>Cac</t>
  </si>
  <si>
    <t>Selected  AC capacitor value for the user</t>
  </si>
  <si>
    <t>V_Cac</t>
  </si>
  <si>
    <t>Max ripple voltage of the capacitor (at VIN min)</t>
  </si>
  <si>
    <t>IRMS_Cac</t>
  </si>
  <si>
    <t>RMS ripple current of the AC capacitor. Calculated at the minimum input votlage</t>
  </si>
  <si>
    <t>*Note this changed for the Version 1 forward. The output capcitance is based on the load transient specification. Similar to the fylback converter</t>
  </si>
  <si>
    <t>fcross_estimate</t>
  </si>
  <si>
    <t>RAD</t>
  </si>
  <si>
    <r>
      <rPr>
        <sz val="11"/>
        <color theme="1"/>
        <rFont val="Calibri"/>
        <charset val="134"/>
        <scheme val="minor"/>
      </rPr>
      <t>Estimate to be 1.5 the RHP zero frequency *</t>
    </r>
    <r>
      <rPr>
        <b/>
        <sz val="11"/>
        <color theme="1"/>
        <rFont val="Calibri"/>
        <charset val="134"/>
        <scheme val="minor"/>
      </rPr>
      <t>Will need to updated for DCM operation</t>
    </r>
  </si>
  <si>
    <t>Vout_rip_sel</t>
  </si>
  <si>
    <t>Desired output ripple</t>
  </si>
  <si>
    <t>Itrans</t>
  </si>
  <si>
    <t>Cout_min</t>
  </si>
  <si>
    <t>Calculate minimum capacitance based simply on the capacitive ripple</t>
  </si>
  <si>
    <t>IRMS_COUT</t>
  </si>
  <si>
    <r>
      <rPr>
        <sz val="11"/>
        <color theme="1"/>
        <rFont val="Calibri"/>
        <charset val="134"/>
        <scheme val="minor"/>
      </rPr>
      <t xml:space="preserve">RMS current of the output capacitor at VIN min IOUT max. RMS current rating should be larger than this. </t>
    </r>
    <r>
      <rPr>
        <b/>
        <sz val="11"/>
        <color theme="1"/>
        <rFont val="Calibri"/>
        <charset val="134"/>
        <scheme val="minor"/>
      </rPr>
      <t>Need to update for DCM and uncoupled inductors</t>
    </r>
  </si>
  <si>
    <t>Cout</t>
  </si>
  <si>
    <t>Selected Output Capacitance</t>
  </si>
  <si>
    <t>Resr</t>
  </si>
  <si>
    <r>
      <rPr>
        <sz val="11"/>
        <color theme="1"/>
        <rFont val="Calibri"/>
        <charset val="134"/>
        <scheme val="minor"/>
      </rPr>
      <t xml:space="preserve">Selected output capacitance ESR. </t>
    </r>
    <r>
      <rPr>
        <b/>
        <sz val="11"/>
        <color theme="1"/>
        <rFont val="Calibri"/>
        <charset val="134"/>
        <scheme val="minor"/>
      </rPr>
      <t>*Need to add a requirement here for the maximum value</t>
    </r>
  </si>
  <si>
    <t>Step 6: Soft-start Capacitor selection</t>
  </si>
  <si>
    <t>SS time</t>
  </si>
  <si>
    <t>ms</t>
  </si>
  <si>
    <t>Softstart time for LM34x8</t>
  </si>
  <si>
    <t>Step 7: UVLO Resistor Selection</t>
  </si>
  <si>
    <t>No UVLO pin</t>
  </si>
  <si>
    <t>Step 8: Loop Compensation</t>
  </si>
  <si>
    <t>VIN_var</t>
  </si>
  <si>
    <r>
      <rPr>
        <sz val="11"/>
        <color theme="1"/>
        <rFont val="Calibri"/>
        <charset val="134"/>
        <scheme val="minor"/>
      </rPr>
      <t xml:space="preserve">Variable input voltage to model the loop. </t>
    </r>
    <r>
      <rPr>
        <b/>
        <sz val="11"/>
        <color theme="1"/>
        <rFont val="Calibri"/>
        <charset val="134"/>
        <scheme val="minor"/>
      </rPr>
      <t>Currently not used. Will be updated in next rev</t>
    </r>
  </si>
  <si>
    <t>Feedback resistor selection</t>
  </si>
  <si>
    <t>RFBT</t>
  </si>
  <si>
    <t>Selected by user. Feedback resistor should be &gt;100uA to help reject noise</t>
  </si>
  <si>
    <t>RFBB_CALC</t>
  </si>
  <si>
    <t>Estimated bottom feedback resistor</t>
  </si>
  <si>
    <t>RFBB</t>
  </si>
  <si>
    <t>Selected botton feedback resistor</t>
  </si>
  <si>
    <t>Ifb</t>
  </si>
  <si>
    <t>Current Drawn from the feedback resistors (Typically higher than 100uA to help w/ noise)</t>
  </si>
  <si>
    <t>Crossover Frequency Selection</t>
  </si>
  <si>
    <t>This is based on the minimum input voltage. T</t>
  </si>
  <si>
    <t>CCM Calculations</t>
  </si>
  <si>
    <t>ADC_VINmin</t>
  </si>
  <si>
    <t>wp_lf_VINmin</t>
  </si>
  <si>
    <t>rad</t>
  </si>
  <si>
    <t>Low frequency pole based on the minimum input voltage</t>
  </si>
  <si>
    <t>fp_lf_VINmin</t>
  </si>
  <si>
    <r>
      <rPr>
        <sz val="11"/>
        <color theme="1"/>
        <rFont val="Calibri"/>
        <charset val="134"/>
        <scheme val="minor"/>
      </rPr>
      <t xml:space="preserve">Plant low frequency pole. </t>
    </r>
    <r>
      <rPr>
        <b/>
        <sz val="11"/>
        <color theme="1"/>
        <rFont val="Calibri"/>
        <charset val="134"/>
        <scheme val="minor"/>
      </rPr>
      <t>IN Hz!!!</t>
    </r>
  </si>
  <si>
    <t>wz_esr_VINmin</t>
  </si>
  <si>
    <t>raf</t>
  </si>
  <si>
    <t>ESR zero based on the minimum input voltage</t>
  </si>
  <si>
    <t>fz_esr_VINmin</t>
  </si>
  <si>
    <r>
      <rPr>
        <sz val="11"/>
        <color theme="1"/>
        <rFont val="Calibri"/>
        <charset val="134"/>
        <scheme val="minor"/>
      </rPr>
      <t xml:space="preserve">Plant capacitor ESR zero </t>
    </r>
    <r>
      <rPr>
        <b/>
        <sz val="11"/>
        <color theme="1"/>
        <rFont val="Calibri"/>
        <charset val="134"/>
        <scheme val="minor"/>
      </rPr>
      <t>(In Hz)</t>
    </r>
  </si>
  <si>
    <t>wz_RHP_VINmin</t>
  </si>
  <si>
    <t>RHP_zero location based on the minimum input voltage</t>
  </si>
  <si>
    <t>fz_rhp_VINmin</t>
  </si>
  <si>
    <r>
      <rPr>
        <sz val="11"/>
        <color theme="1"/>
        <rFont val="Calibri"/>
        <charset val="134"/>
        <scheme val="minor"/>
      </rPr>
      <t xml:space="preserve">Plant RHP Zero, </t>
    </r>
    <r>
      <rPr>
        <b/>
        <sz val="11"/>
        <color theme="1"/>
        <rFont val="Calibri"/>
        <charset val="134"/>
        <scheme val="minor"/>
      </rPr>
      <t>(IN Hz)</t>
    </r>
  </si>
  <si>
    <t>1/10 the swictching frequency</t>
  </si>
  <si>
    <r>
      <rPr>
        <sz val="11"/>
        <color theme="1"/>
        <rFont val="Calibri"/>
        <charset val="134"/>
        <scheme val="minor"/>
      </rPr>
      <t xml:space="preserve">Select the lower crossover frequency </t>
    </r>
    <r>
      <rPr>
        <b/>
        <sz val="11"/>
        <color theme="1"/>
        <rFont val="Calibri"/>
        <charset val="134"/>
        <scheme val="minor"/>
      </rPr>
      <t>(typically going to set to 1/5th the RHP zero)</t>
    </r>
  </si>
  <si>
    <t>Se_VINmin</t>
  </si>
  <si>
    <t xml:space="preserve">Slope compensation </t>
  </si>
  <si>
    <t>Sn_VINmin</t>
  </si>
  <si>
    <t>Down slope at the selected input voltage</t>
  </si>
  <si>
    <t>wsl_VINmin</t>
  </si>
  <si>
    <t>Rad</t>
  </si>
  <si>
    <t>Q_VINmin</t>
  </si>
  <si>
    <t>fcross_CCM</t>
  </si>
  <si>
    <r>
      <rPr>
        <sz val="11"/>
        <color theme="1"/>
        <rFont val="Calibri"/>
        <charset val="134"/>
        <scheme val="minor"/>
      </rPr>
      <t xml:space="preserve">Conservative. Set Fcross to be 1/6th the RHP zero frequency or 1/10th SW: whichever is lower. </t>
    </r>
    <r>
      <rPr>
        <b/>
        <sz val="11"/>
        <color theme="1"/>
        <rFont val="Calibri"/>
        <charset val="134"/>
        <scheme val="minor"/>
      </rPr>
      <t>Note this is just for CCM operation</t>
    </r>
  </si>
  <si>
    <t>fz_ea_est</t>
  </si>
  <si>
    <t>This sets the error amp zero at the geometric mean between the load pole and the crossover frequency</t>
  </si>
  <si>
    <t>fp_ea_est</t>
  </si>
  <si>
    <t>This should be set at or near the lowest RHP zero Frequency</t>
  </si>
  <si>
    <t>fcross</t>
  </si>
  <si>
    <t>Set between 1/2 fsw and the RHPz in the application note. This is aggressive</t>
  </si>
  <si>
    <t>Rcomp_Calc_CCM</t>
  </si>
  <si>
    <t>Calculate on based on the desired Mid-band gain needed to set the crossover frequency</t>
  </si>
  <si>
    <t>CCOMP_calc_CCM</t>
  </si>
  <si>
    <t>Calcualted based on the desired Zero frequency. Set at the geometric mean between the crossover frequency and the load pole</t>
  </si>
  <si>
    <t>CHF_Calc_CCM</t>
  </si>
  <si>
    <t>Calcualted based on the RHP zero frequency</t>
  </si>
  <si>
    <t>DCM Selections</t>
  </si>
  <si>
    <t>*DCM operation is not modeled is disabled on the loop compensation. Needs to be modeled for a SEPIC</t>
  </si>
  <si>
    <t>Fm_DCM</t>
  </si>
  <si>
    <t>Modulator gain of the PWM comparator</t>
  </si>
  <si>
    <t>ADC_VIN_min_DCM</t>
  </si>
  <si>
    <t>wp_dcm</t>
  </si>
  <si>
    <t>wz1_dcm</t>
  </si>
  <si>
    <t>wz2_dcm</t>
  </si>
  <si>
    <t>RHP zero location</t>
  </si>
  <si>
    <t>fcross_DCM</t>
  </si>
  <si>
    <r>
      <rPr>
        <sz val="11"/>
        <color theme="1"/>
        <rFont val="Calibri"/>
        <charset val="134"/>
        <scheme val="minor"/>
      </rPr>
      <t>Crossover frequnecy of the</t>
    </r>
    <r>
      <rPr>
        <b/>
        <sz val="11"/>
        <color theme="1"/>
        <rFont val="Calibri"/>
        <charset val="134"/>
        <scheme val="minor"/>
      </rPr>
      <t xml:space="preserve"> DCM control loop</t>
    </r>
    <r>
      <rPr>
        <sz val="11"/>
        <color theme="1"/>
        <rFont val="Calibri"/>
        <charset val="134"/>
        <scheme val="minor"/>
      </rPr>
      <t>. (1/5th the RHPzero frequency), suggested</t>
    </r>
  </si>
  <si>
    <t>Gain of the plant at the crossover frequency</t>
  </si>
  <si>
    <t>Selected cross over frequency by the user.</t>
  </si>
  <si>
    <t>Rcomp_Calc_DCM</t>
  </si>
  <si>
    <t>Ohm</t>
  </si>
  <si>
    <t>CCOMP_Calc_DCM</t>
  </si>
  <si>
    <t>CHF_Calc_DCM</t>
  </si>
  <si>
    <t>General Loop Selections</t>
  </si>
  <si>
    <t>This is the output to the user based on the mode of operation when VIN is the minimum</t>
  </si>
  <si>
    <t>Desired Crossover frequency</t>
  </si>
  <si>
    <t>Rcomp_Calc</t>
  </si>
  <si>
    <t>RCOMP</t>
  </si>
  <si>
    <t>Type II compensation Resistort</t>
  </si>
  <si>
    <t>CCOMP_calc</t>
  </si>
  <si>
    <t>CCOMP</t>
  </si>
  <si>
    <t>Type II compensation Capacitor</t>
  </si>
  <si>
    <t>CHF_calc</t>
  </si>
  <si>
    <t>CHF</t>
  </si>
  <si>
    <t>Type II high frequency capacitor</t>
  </si>
  <si>
    <t>Step 7: Component Selection</t>
  </si>
  <si>
    <t>Id_AVG</t>
  </si>
  <si>
    <t xml:space="preserve">Suggested average current rating of diode. </t>
  </si>
  <si>
    <t>Vd_rect</t>
  </si>
  <si>
    <t>Rect Diode forward voltage drop</t>
  </si>
  <si>
    <t>Qrr</t>
  </si>
  <si>
    <t>C</t>
  </si>
  <si>
    <t>Shottky Reverse recovery charge</t>
  </si>
  <si>
    <t>MOSFET Parameters</t>
  </si>
  <si>
    <t>RDS_on</t>
  </si>
  <si>
    <t>Qg_tot</t>
  </si>
  <si>
    <t>Qgd</t>
  </si>
  <si>
    <t>Qgs</t>
  </si>
  <si>
    <t>Rgate</t>
  </si>
  <si>
    <t>Rgate_int</t>
  </si>
  <si>
    <t>Internal Gate resistance of the MOSFET driver.</t>
  </si>
  <si>
    <t>gfs</t>
  </si>
  <si>
    <t>Vth</t>
  </si>
  <si>
    <t>VCC</t>
  </si>
  <si>
    <t xml:space="preserve">VCC voltage. Can be changed with external bias. </t>
  </si>
  <si>
    <t>Vsp</t>
  </si>
  <si>
    <t>Gate voltage when MOSFET begins conducting current</t>
  </si>
  <si>
    <t>tr_sw</t>
  </si>
  <si>
    <t>Rise time of the switch node</t>
  </si>
  <si>
    <t>tf_sw</t>
  </si>
  <si>
    <t>Fall time of the switch node</t>
  </si>
  <si>
    <t>Check this value</t>
  </si>
  <si>
    <t>Coils are not included in the efficiency calculations</t>
  </si>
  <si>
    <t>Operation Variables</t>
  </si>
  <si>
    <t>Duty Cycle</t>
  </si>
  <si>
    <t>Inductor (Written of the switch on SEPIC)</t>
  </si>
  <si>
    <t>MOSFET</t>
  </si>
  <si>
    <t>Diode</t>
  </si>
  <si>
    <t>Other Losses</t>
  </si>
  <si>
    <t>Total Losses</t>
  </si>
  <si>
    <t>VIN</t>
  </si>
  <si>
    <t>IIN</t>
  </si>
  <si>
    <t>DCM/CCM</t>
  </si>
  <si>
    <t>DC</t>
  </si>
  <si>
    <t>DC_off</t>
  </si>
  <si>
    <t>dIL</t>
  </si>
  <si>
    <r>
      <rPr>
        <sz val="11"/>
        <color theme="1"/>
        <rFont val="Calibri"/>
        <charset val="134"/>
        <scheme val="minor"/>
      </rPr>
      <t>IL</t>
    </r>
    <r>
      <rPr>
        <vertAlign val="subscript"/>
        <sz val="11"/>
        <color theme="1"/>
        <rFont val="Calibri"/>
        <charset val="134"/>
        <scheme val="minor"/>
      </rPr>
      <t>PEAK</t>
    </r>
  </si>
  <si>
    <r>
      <rPr>
        <sz val="11"/>
        <color theme="1"/>
        <rFont val="Calibri"/>
        <charset val="134"/>
        <scheme val="minor"/>
      </rPr>
      <t>IL</t>
    </r>
    <r>
      <rPr>
        <vertAlign val="subscript"/>
        <sz val="11"/>
        <color theme="1"/>
        <rFont val="Calibri"/>
        <charset val="134"/>
        <scheme val="minor"/>
      </rPr>
      <t>RMS</t>
    </r>
  </si>
  <si>
    <r>
      <rPr>
        <sz val="11"/>
        <color theme="1"/>
        <rFont val="Calibri"/>
        <charset val="134"/>
        <scheme val="minor"/>
      </rPr>
      <t>P</t>
    </r>
    <r>
      <rPr>
        <vertAlign val="subscript"/>
        <sz val="11"/>
        <color theme="1"/>
        <rFont val="Calibri"/>
        <charset val="134"/>
        <scheme val="minor"/>
      </rPr>
      <t>Lac</t>
    </r>
    <r>
      <rPr>
        <sz val="11"/>
        <color theme="1"/>
        <rFont val="Calibri"/>
        <charset val="134"/>
        <scheme val="minor"/>
      </rPr>
      <t xml:space="preserve"> (W)</t>
    </r>
  </si>
  <si>
    <r>
      <rPr>
        <sz val="11"/>
        <color theme="1"/>
        <rFont val="Calibri"/>
        <charset val="134"/>
        <scheme val="minor"/>
      </rPr>
      <t>P</t>
    </r>
    <r>
      <rPr>
        <vertAlign val="subscript"/>
        <sz val="11"/>
        <color theme="1"/>
        <rFont val="Calibri"/>
        <charset val="134"/>
        <scheme val="minor"/>
      </rPr>
      <t>L_DCR</t>
    </r>
    <r>
      <rPr>
        <sz val="11"/>
        <color theme="1"/>
        <rFont val="Calibri"/>
        <charset val="134"/>
        <scheme val="minor"/>
      </rPr>
      <t xml:space="preserve"> (W)</t>
    </r>
  </si>
  <si>
    <r>
      <rPr>
        <sz val="11"/>
        <color theme="1"/>
        <rFont val="Calibri"/>
        <charset val="134"/>
        <scheme val="minor"/>
      </rPr>
      <t>P</t>
    </r>
    <r>
      <rPr>
        <vertAlign val="subscript"/>
        <sz val="11"/>
        <color theme="1"/>
        <rFont val="Calibri"/>
        <charset val="134"/>
        <scheme val="minor"/>
      </rPr>
      <t>L_tot</t>
    </r>
    <r>
      <rPr>
        <sz val="11"/>
        <color theme="1"/>
        <rFont val="Calibri"/>
        <charset val="134"/>
        <scheme val="minor"/>
      </rPr>
      <t xml:space="preserve"> (W)</t>
    </r>
  </si>
  <si>
    <r>
      <rPr>
        <sz val="11"/>
        <color theme="1"/>
        <rFont val="Calibri"/>
        <charset val="134"/>
        <scheme val="minor"/>
      </rPr>
      <t>ISW</t>
    </r>
    <r>
      <rPr>
        <vertAlign val="subscript"/>
        <sz val="11"/>
        <color theme="1"/>
        <rFont val="Calibri"/>
        <charset val="134"/>
        <scheme val="minor"/>
      </rPr>
      <t xml:space="preserve">AVG </t>
    </r>
    <r>
      <rPr>
        <sz val="11"/>
        <color theme="1"/>
        <rFont val="Calibri"/>
        <charset val="134"/>
        <scheme val="minor"/>
      </rPr>
      <t>(A)</t>
    </r>
  </si>
  <si>
    <r>
      <rPr>
        <sz val="11"/>
        <color theme="1"/>
        <rFont val="Calibri"/>
        <charset val="134"/>
        <scheme val="minor"/>
      </rPr>
      <t>ISW</t>
    </r>
    <r>
      <rPr>
        <vertAlign val="subscript"/>
        <sz val="11"/>
        <color theme="1"/>
        <rFont val="Calibri"/>
        <charset val="134"/>
        <scheme val="minor"/>
      </rPr>
      <t>RMS</t>
    </r>
  </si>
  <si>
    <r>
      <rPr>
        <sz val="11"/>
        <color theme="1"/>
        <rFont val="Calibri"/>
        <charset val="134"/>
        <scheme val="minor"/>
      </rPr>
      <t>P</t>
    </r>
    <r>
      <rPr>
        <vertAlign val="subscript"/>
        <sz val="11"/>
        <color theme="1"/>
        <rFont val="Calibri"/>
        <charset val="134"/>
        <scheme val="minor"/>
      </rPr>
      <t xml:space="preserve">Q_COND </t>
    </r>
    <r>
      <rPr>
        <sz val="11"/>
        <color theme="1"/>
        <rFont val="Calibri"/>
        <charset val="134"/>
        <scheme val="minor"/>
      </rPr>
      <t>(W)</t>
    </r>
  </si>
  <si>
    <r>
      <rPr>
        <sz val="11"/>
        <color theme="1"/>
        <rFont val="Calibri"/>
        <charset val="134"/>
        <scheme val="minor"/>
      </rPr>
      <t>P</t>
    </r>
    <r>
      <rPr>
        <vertAlign val="subscript"/>
        <sz val="11"/>
        <color theme="1"/>
        <rFont val="Calibri"/>
        <charset val="134"/>
        <scheme val="minor"/>
      </rPr>
      <t xml:space="preserve">Q_SW </t>
    </r>
    <r>
      <rPr>
        <sz val="11"/>
        <color theme="1"/>
        <rFont val="Calibri"/>
        <charset val="134"/>
        <scheme val="minor"/>
      </rPr>
      <t>(W)</t>
    </r>
  </si>
  <si>
    <r>
      <rPr>
        <sz val="11"/>
        <color theme="1"/>
        <rFont val="Calibri"/>
        <charset val="134"/>
        <scheme val="minor"/>
      </rPr>
      <t>P</t>
    </r>
    <r>
      <rPr>
        <vertAlign val="subscript"/>
        <sz val="11"/>
        <color theme="1"/>
        <rFont val="Calibri"/>
        <charset val="134"/>
        <scheme val="minor"/>
      </rPr>
      <t xml:space="preserve">Q_tot </t>
    </r>
    <r>
      <rPr>
        <sz val="11"/>
        <color theme="1"/>
        <rFont val="Calibri"/>
        <charset val="134"/>
        <scheme val="minor"/>
      </rPr>
      <t>(W)</t>
    </r>
  </si>
  <si>
    <r>
      <rPr>
        <sz val="11"/>
        <color theme="1"/>
        <rFont val="Calibri"/>
        <charset val="134"/>
        <scheme val="minor"/>
      </rPr>
      <t>ID</t>
    </r>
    <r>
      <rPr>
        <vertAlign val="subscript"/>
        <sz val="11"/>
        <color theme="1"/>
        <rFont val="Calibri"/>
        <charset val="134"/>
        <scheme val="minor"/>
      </rPr>
      <t xml:space="preserve">AVG </t>
    </r>
    <r>
      <rPr>
        <sz val="11"/>
        <color theme="1"/>
        <rFont val="Calibri"/>
        <charset val="134"/>
        <scheme val="minor"/>
      </rPr>
      <t>(A)</t>
    </r>
  </si>
  <si>
    <r>
      <rPr>
        <sz val="11"/>
        <color theme="1"/>
        <rFont val="Calibri"/>
        <charset val="134"/>
        <scheme val="minor"/>
      </rPr>
      <t>ID</t>
    </r>
    <r>
      <rPr>
        <vertAlign val="subscript"/>
        <sz val="11"/>
        <color theme="1"/>
        <rFont val="Calibri"/>
        <charset val="134"/>
        <scheme val="minor"/>
      </rPr>
      <t>RMS</t>
    </r>
  </si>
  <si>
    <r>
      <rPr>
        <sz val="11"/>
        <color theme="1"/>
        <rFont val="Calibri"/>
        <charset val="134"/>
        <scheme val="minor"/>
      </rPr>
      <t>P</t>
    </r>
    <r>
      <rPr>
        <vertAlign val="subscript"/>
        <sz val="11"/>
        <color theme="1"/>
        <rFont val="Calibri"/>
        <charset val="134"/>
        <scheme val="minor"/>
      </rPr>
      <t xml:space="preserve">D_COND </t>
    </r>
    <r>
      <rPr>
        <sz val="11"/>
        <color theme="1"/>
        <rFont val="Calibri"/>
        <charset val="134"/>
        <scheme val="minor"/>
      </rPr>
      <t>(W)</t>
    </r>
  </si>
  <si>
    <r>
      <rPr>
        <sz val="11"/>
        <color theme="1"/>
        <rFont val="Calibri"/>
        <charset val="134"/>
        <scheme val="minor"/>
      </rPr>
      <t>P</t>
    </r>
    <r>
      <rPr>
        <vertAlign val="subscript"/>
        <sz val="11"/>
        <color theme="1"/>
        <rFont val="Calibri"/>
        <charset val="134"/>
        <scheme val="minor"/>
      </rPr>
      <t xml:space="preserve">D_SW </t>
    </r>
    <r>
      <rPr>
        <sz val="11"/>
        <color theme="1"/>
        <rFont val="Calibri"/>
        <charset val="134"/>
        <scheme val="minor"/>
      </rPr>
      <t>(W)</t>
    </r>
  </si>
  <si>
    <r>
      <rPr>
        <sz val="11"/>
        <color theme="1"/>
        <rFont val="Calibri"/>
        <charset val="134"/>
        <scheme val="minor"/>
      </rPr>
      <t>P</t>
    </r>
    <r>
      <rPr>
        <vertAlign val="subscript"/>
        <sz val="11"/>
        <color theme="1"/>
        <rFont val="Calibri"/>
        <charset val="134"/>
        <scheme val="minor"/>
      </rPr>
      <t xml:space="preserve">D_tot </t>
    </r>
    <r>
      <rPr>
        <sz val="11"/>
        <color theme="1"/>
        <rFont val="Calibri"/>
        <charset val="134"/>
        <scheme val="minor"/>
      </rPr>
      <t>(W)</t>
    </r>
  </si>
  <si>
    <r>
      <rPr>
        <sz val="11"/>
        <color theme="1"/>
        <rFont val="Calibri"/>
        <charset val="134"/>
        <scheme val="minor"/>
      </rPr>
      <t>P</t>
    </r>
    <r>
      <rPr>
        <vertAlign val="subscript"/>
        <sz val="11"/>
        <color theme="1"/>
        <rFont val="Calibri"/>
        <charset val="134"/>
        <scheme val="minor"/>
      </rPr>
      <t>RCS</t>
    </r>
    <r>
      <rPr>
        <sz val="11"/>
        <color theme="1"/>
        <rFont val="Calibri"/>
        <charset val="134"/>
        <scheme val="minor"/>
      </rPr>
      <t xml:space="preserve"> (W)</t>
    </r>
  </si>
  <si>
    <r>
      <rPr>
        <sz val="11"/>
        <color theme="1"/>
        <rFont val="Calibri"/>
        <charset val="134"/>
        <scheme val="minor"/>
      </rPr>
      <t>P</t>
    </r>
    <r>
      <rPr>
        <vertAlign val="subscript"/>
        <sz val="11"/>
        <color theme="1"/>
        <rFont val="Calibri"/>
        <charset val="134"/>
        <scheme val="minor"/>
      </rPr>
      <t>G_drv</t>
    </r>
    <r>
      <rPr>
        <sz val="11"/>
        <color theme="1"/>
        <rFont val="Calibri"/>
        <charset val="134"/>
        <scheme val="minor"/>
      </rPr>
      <t xml:space="preserve"> (W)</t>
    </r>
  </si>
  <si>
    <r>
      <rPr>
        <sz val="11"/>
        <color theme="1"/>
        <rFont val="Calibri"/>
        <charset val="134"/>
        <scheme val="minor"/>
      </rPr>
      <t>P</t>
    </r>
    <r>
      <rPr>
        <vertAlign val="subscript"/>
        <sz val="11"/>
        <color theme="1"/>
        <rFont val="Calibri"/>
        <charset val="134"/>
        <scheme val="minor"/>
      </rPr>
      <t>IQ</t>
    </r>
    <r>
      <rPr>
        <sz val="11"/>
        <color theme="1"/>
        <rFont val="Calibri"/>
        <charset val="134"/>
        <scheme val="minor"/>
      </rPr>
      <t xml:space="preserve"> (W)</t>
    </r>
  </si>
  <si>
    <r>
      <rPr>
        <sz val="11"/>
        <color theme="1"/>
        <rFont val="Calibri"/>
        <charset val="134"/>
        <scheme val="minor"/>
      </rPr>
      <t>P</t>
    </r>
    <r>
      <rPr>
        <vertAlign val="subscript"/>
        <sz val="11"/>
        <color theme="1"/>
        <rFont val="Calibri"/>
        <charset val="134"/>
        <scheme val="minor"/>
      </rPr>
      <t>TOTAL</t>
    </r>
    <r>
      <rPr>
        <sz val="11"/>
        <color theme="1"/>
        <rFont val="Calibri"/>
        <charset val="134"/>
        <scheme val="minor"/>
      </rPr>
      <t xml:space="preserve"> (W)</t>
    </r>
  </si>
  <si>
    <r>
      <rPr>
        <sz val="11"/>
        <color theme="1"/>
        <rFont val="Calibri"/>
        <charset val="134"/>
        <scheme val="minor"/>
      </rPr>
      <t>P</t>
    </r>
    <r>
      <rPr>
        <vertAlign val="subscript"/>
        <sz val="11"/>
        <color theme="1"/>
        <rFont val="Calibri"/>
        <charset val="134"/>
        <scheme val="minor"/>
      </rPr>
      <t>OUT</t>
    </r>
    <r>
      <rPr>
        <sz val="11"/>
        <color theme="1"/>
        <rFont val="Calibri"/>
        <charset val="134"/>
        <scheme val="minor"/>
      </rPr>
      <t xml:space="preserve"> (W)</t>
    </r>
  </si>
  <si>
    <t>Eff</t>
  </si>
  <si>
    <t>VIN_VAR</t>
  </si>
  <si>
    <t>Steps</t>
  </si>
  <si>
    <t>Step size</t>
  </si>
  <si>
    <t>Calculations</t>
  </si>
  <si>
    <t>Needs to be updated for DCM operation</t>
  </si>
  <si>
    <t>Operating mode</t>
  </si>
  <si>
    <t>Plant Transfer Function</t>
  </si>
  <si>
    <t>Error Amplifier</t>
  </si>
  <si>
    <t>CCM Open Loop Response</t>
  </si>
  <si>
    <t>DCM Open Loop Response</t>
  </si>
  <si>
    <t>Displayed Loop Calclation</t>
  </si>
  <si>
    <t>wp_lf</t>
  </si>
  <si>
    <t>wz_esr</t>
  </si>
  <si>
    <t>Sampling</t>
  </si>
  <si>
    <t>Total</t>
  </si>
  <si>
    <t>wz_RHP</t>
  </si>
  <si>
    <t>wp0_ea</t>
  </si>
  <si>
    <t>wp1_ea</t>
  </si>
  <si>
    <t>wz_ea</t>
  </si>
  <si>
    <t>ADC</t>
  </si>
  <si>
    <t>Complex</t>
  </si>
  <si>
    <t>Gain</t>
  </si>
  <si>
    <t>Phase</t>
  </si>
  <si>
    <t>COMPLEX</t>
  </si>
  <si>
    <t xml:space="preserve">Gain </t>
  </si>
  <si>
    <t>ADC_ea</t>
  </si>
  <si>
    <t>Frcoss (VIN)min</t>
  </si>
  <si>
    <t>Fcross</t>
  </si>
  <si>
    <t>Input Parameters</t>
  </si>
  <si>
    <t>XOVER SEARCH</t>
  </si>
  <si>
    <t>xover</t>
  </si>
  <si>
    <t>phase margin</t>
  </si>
  <si>
    <t xml:space="preserve"> CCMPlant Parameters</t>
  </si>
  <si>
    <t>Selected VIN</t>
  </si>
  <si>
    <t>Variable input voltage</t>
  </si>
  <si>
    <t>CCM Plant Transfer Function</t>
  </si>
  <si>
    <t>DCM Plant Transfer Function</t>
  </si>
  <si>
    <t>IOUT_VAR</t>
  </si>
  <si>
    <t>Variable output current (Can add this a different revision, not needed right now)</t>
  </si>
  <si>
    <t>DC_VIN_Var</t>
  </si>
  <si>
    <t>Frequency</t>
  </si>
  <si>
    <t>Gain(dB)</t>
  </si>
  <si>
    <t>Phase (deg)</t>
  </si>
  <si>
    <t>Gain Cross</t>
  </si>
  <si>
    <t>Phase Cross</t>
  </si>
  <si>
    <t>Output Voltage</t>
  </si>
  <si>
    <t>Component Selection</t>
  </si>
  <si>
    <t>LM</t>
  </si>
  <si>
    <t>filter Inductor</t>
  </si>
  <si>
    <t>Current sense resi</t>
  </si>
  <si>
    <t>External Slope Compensation Resistor</t>
  </si>
  <si>
    <t>Rsl_int</t>
  </si>
  <si>
    <t>Interanl Slope Compesnation Resistor</t>
  </si>
  <si>
    <t>Isl</t>
  </si>
  <si>
    <t>Interanl Slope Compesnation current</t>
  </si>
  <si>
    <t>Gcomp</t>
  </si>
  <si>
    <t>Scale down factor of the interal comp voltage divider</t>
  </si>
  <si>
    <r>
      <rPr>
        <sz val="11"/>
        <color theme="1"/>
        <rFont val="Calibri"/>
        <charset val="134"/>
        <scheme val="minor"/>
      </rPr>
      <t xml:space="preserve">0 - DCM operation, 1- CCM opertaion. </t>
    </r>
    <r>
      <rPr>
        <b/>
        <sz val="11"/>
        <color theme="1"/>
        <rFont val="Calibri"/>
        <charset val="134"/>
        <scheme val="minor"/>
      </rPr>
      <t>Always set to CCM right now</t>
    </r>
  </si>
  <si>
    <t>CCM Plan Parameters</t>
  </si>
  <si>
    <t>DC gain of the plant function</t>
  </si>
  <si>
    <t>Low Frequency Pole</t>
  </si>
  <si>
    <t>dB</t>
  </si>
  <si>
    <t>Gain of open loop at wp_Lf</t>
  </si>
  <si>
    <t>wz_rhp</t>
  </si>
  <si>
    <t>RHPz zero of boost converter</t>
  </si>
  <si>
    <t>ESR zero cause by output capacitance</t>
  </si>
  <si>
    <t>Se</t>
  </si>
  <si>
    <t>Sn</t>
  </si>
  <si>
    <t>wsl</t>
  </si>
  <si>
    <t>Q</t>
  </si>
  <si>
    <t>Compensation Components</t>
  </si>
  <si>
    <t>Top feedback resistor</t>
  </si>
  <si>
    <t>Bottom feedback resistor</t>
  </si>
  <si>
    <t>Adc_ea</t>
  </si>
  <si>
    <t>Error Amplifier Zero</t>
  </si>
  <si>
    <t>Error Amplifier pole at the origin</t>
  </si>
  <si>
    <t>Error Amplifier pole at high frequencies</t>
  </si>
  <si>
    <t xml:space="preserve"> DCMPlant Parameters</t>
  </si>
  <si>
    <t>DC_VIN_var_DCM</t>
  </si>
  <si>
    <t>Duty cycle of the converter in DCM</t>
  </si>
  <si>
    <t>"Note this include the COMP to PWM gain term (.145V/V)</t>
  </si>
  <si>
    <t>wp_lf_DCM</t>
  </si>
  <si>
    <t>EXCEL Constants / Values / IC Limits</t>
  </si>
  <si>
    <t>Excel Calculator based on LM5155 basis</t>
  </si>
  <si>
    <t xml:space="preserve">IC Duty Cycle Limitation: </t>
  </si>
  <si>
    <t>D_2p2_min</t>
  </si>
  <si>
    <t>Minimum max duty cycle at 2p2MHZ operation</t>
  </si>
  <si>
    <t>t_off_max</t>
  </si>
  <si>
    <t>Maximum forced off time</t>
  </si>
  <si>
    <t>D_2p2_nom</t>
  </si>
  <si>
    <t>T_off_nom</t>
  </si>
  <si>
    <t>nominal forced off time</t>
  </si>
  <si>
    <t>D_2p2_max</t>
  </si>
  <si>
    <t>T_off_min</t>
  </si>
  <si>
    <t>Minimum forced off time</t>
  </si>
  <si>
    <t>D_limit_min</t>
  </si>
  <si>
    <t>Min max duty cycle at low frequency</t>
  </si>
  <si>
    <t>D_limit_nom</t>
  </si>
  <si>
    <t>Nomminal max duty cycle at low frequency</t>
  </si>
  <si>
    <t>D_limit_max</t>
  </si>
  <si>
    <t>Maximum max duty cycle at low frequency</t>
  </si>
  <si>
    <t>Forced off time limit? [2 True, 1 False].</t>
  </si>
  <si>
    <t>Dc_Limit</t>
  </si>
  <si>
    <t>Max duty cycle of LM5155 at Fsw</t>
  </si>
  <si>
    <t>ton_min</t>
  </si>
  <si>
    <t>Typical Ton minimum value</t>
  </si>
  <si>
    <t>Slope Compensation</t>
  </si>
  <si>
    <t>Fsw:</t>
  </si>
  <si>
    <t>Internal slope compensation ramp</t>
  </si>
  <si>
    <t>Internal Slope compensation resistor</t>
  </si>
  <si>
    <t>Vcl</t>
  </si>
  <si>
    <t>Current Limit Value. See datsheet for Parameters</t>
  </si>
  <si>
    <t>Rsl_max</t>
  </si>
  <si>
    <t>Intenal step down of the divider</t>
  </si>
  <si>
    <t>Acs</t>
  </si>
  <si>
    <t>Current sense Amplifier Gain (1 for this device)</t>
  </si>
  <si>
    <t>Vref</t>
  </si>
  <si>
    <t>Reference voltage</t>
  </si>
  <si>
    <t>gm_ea</t>
  </si>
  <si>
    <t>A/V</t>
  </si>
  <si>
    <t>Error Amplifier Gain</t>
  </si>
  <si>
    <t>Soft-Start</t>
  </si>
  <si>
    <t>internally fixed</t>
  </si>
  <si>
    <t>UVLO Thresholds</t>
  </si>
  <si>
    <t>UV_rise</t>
  </si>
  <si>
    <t>NO UVLO PIN</t>
  </si>
  <si>
    <t>UV_fall</t>
  </si>
  <si>
    <t>UV_I_hyst</t>
  </si>
  <si>
    <t>VCC regulator</t>
  </si>
  <si>
    <t>Vcc</t>
  </si>
  <si>
    <t>Regulated output voltage of internal LDO. Can change if this is externally biased.</t>
  </si>
  <si>
    <t>IQ current</t>
  </si>
  <si>
    <t xml:space="preserve">IQ </t>
  </si>
  <si>
    <t>Non-switching IQ current</t>
  </si>
  <si>
    <t>200uA for redbull</t>
  </si>
  <si>
    <t>Operation Raange</t>
  </si>
  <si>
    <t>Vin_op_min</t>
  </si>
  <si>
    <t>Minimum operating voltage</t>
  </si>
  <si>
    <t>Vin_op_max</t>
  </si>
  <si>
    <t>Maximum BIAS pin operating voltage</t>
  </si>
  <si>
    <t>VIN_op_max_56</t>
  </si>
  <si>
    <t>Abs max BIAS</t>
  </si>
  <si>
    <t>Input Voltage</t>
  </si>
</sst>
</file>

<file path=xl/styles.xml><?xml version="1.0" encoding="utf-8"?>
<styleSheet xmlns="http://schemas.openxmlformats.org/spreadsheetml/2006/main" xmlns:mc="http://schemas.openxmlformats.org/markup-compatibility/2006" xmlns:xr9="http://schemas.microsoft.com/office/spreadsheetml/2016/revision9" mc:Ignorable="xr9">
  <numFmts count="13">
    <numFmt numFmtId="26" formatCode="General"/>
    <numFmt numFmtId="176" formatCode="_-* #,##0.00_-;\-* #,##0.00_-;_-* &quot;-&quot;??_-;_-@_-"/>
    <numFmt numFmtId="177" formatCode="_-* #,##0.00\ &quot;zł&quot;_-;\-* #,##0.00\ &quot;zł&quot;_-;_-* &quot;-&quot;??\ &quot;zł&quot;_-;_-@_-"/>
    <numFmt numFmtId="178" formatCode="_-* #,##0_-;\-* #,##0_-;_-* &quot;-&quot;_-;_-@_-"/>
    <numFmt numFmtId="179" formatCode="_-* #,##0\ &quot;zł&quot;_-;\-* #,##0\ &quot;zł&quot;_-;_-* &quot;-&quot;\ &quot;zł&quot;_-;_-@_-"/>
    <numFmt numFmtId="180" formatCode="_(* #,##0.00_);_(* \(#,##0.00\);_(* &quot;-&quot;??_);_(@_)"/>
    <numFmt numFmtId="181" formatCode="0.000E+00"/>
    <numFmt numFmtId="182" formatCode="0.000"/>
    <numFmt numFmtId="183" formatCode="0.00000"/>
    <numFmt numFmtId="184" formatCode="0.0000E+00"/>
    <numFmt numFmtId="185" formatCode="0.0000"/>
    <numFmt numFmtId="186" formatCode="0.0"/>
    <numFmt numFmtId="187" formatCode="0.000000E+00"/>
  </numFmts>
  <fonts count="65">
    <font>
      <sz val="11"/>
      <color theme="1"/>
      <name val="Calibri"/>
      <charset val="134"/>
      <scheme val="minor"/>
    </font>
    <font>
      <b/>
      <sz val="22"/>
      <color indexed="44"/>
      <name val="Arial"/>
      <charset val="134"/>
    </font>
    <font>
      <b/>
      <sz val="10"/>
      <name val="Arial"/>
      <charset val="134"/>
    </font>
    <font>
      <sz val="10"/>
      <name val="Arial"/>
      <charset val="134"/>
    </font>
    <font>
      <b/>
      <sz val="12"/>
      <color theme="1"/>
      <name val="Calibri"/>
      <charset val="134"/>
      <scheme val="minor"/>
    </font>
    <font>
      <sz val="11"/>
      <color theme="1"/>
      <name val="Calibri"/>
      <charset val="134"/>
    </font>
    <font>
      <b/>
      <sz val="11"/>
      <color theme="1"/>
      <name val="Calibri"/>
      <charset val="134"/>
      <scheme val="minor"/>
    </font>
    <font>
      <b/>
      <sz val="10"/>
      <color rgb="FF00B0F0"/>
      <name val="Arial"/>
      <charset val="134"/>
    </font>
    <font>
      <b/>
      <sz val="11"/>
      <color rgb="FF00B0F0"/>
      <name val="Calibri"/>
      <charset val="134"/>
      <scheme val="minor"/>
    </font>
    <font>
      <b/>
      <sz val="12"/>
      <color rgb="FF00B0F0"/>
      <name val="Calibri"/>
      <charset val="134"/>
      <scheme val="minor"/>
    </font>
    <font>
      <b/>
      <sz val="12"/>
      <color rgb="FF0000FF"/>
      <name val="Arial"/>
      <charset val="134"/>
    </font>
    <font>
      <b/>
      <sz val="11"/>
      <color rgb="FF0070C0"/>
      <name val="Calibri"/>
      <charset val="134"/>
      <scheme val="minor"/>
    </font>
    <font>
      <sz val="11"/>
      <color rgb="FF0070C0"/>
      <name val="Calibri"/>
      <charset val="134"/>
      <scheme val="minor"/>
    </font>
    <font>
      <b/>
      <u/>
      <sz val="11"/>
      <color theme="1"/>
      <name val="Calibri"/>
      <charset val="134"/>
      <scheme val="minor"/>
    </font>
    <font>
      <sz val="11"/>
      <name val="Calibri"/>
      <charset val="134"/>
      <scheme val="minor"/>
    </font>
    <font>
      <u/>
      <sz val="11"/>
      <color theme="1"/>
      <name val="Calibri"/>
      <charset val="134"/>
      <scheme val="minor"/>
    </font>
    <font>
      <i/>
      <sz val="11"/>
      <color theme="1"/>
      <name val="Calibri"/>
      <charset val="134"/>
      <scheme val="minor"/>
    </font>
    <font>
      <b/>
      <sz val="11"/>
      <color theme="3" tint="0.399975585192419"/>
      <name val="Calibri"/>
      <charset val="134"/>
      <scheme val="minor"/>
    </font>
    <font>
      <sz val="10"/>
      <name val="Calibri"/>
      <charset val="134"/>
      <scheme val="minor"/>
    </font>
    <font>
      <sz val="11"/>
      <color theme="1"/>
      <name val="Arial"/>
      <charset val="134"/>
    </font>
    <font>
      <b/>
      <sz val="10"/>
      <color theme="1"/>
      <name val="Arial"/>
      <charset val="134"/>
    </font>
    <font>
      <sz val="10"/>
      <color theme="1"/>
      <name val="Arial"/>
      <charset val="134"/>
    </font>
    <font>
      <b/>
      <u/>
      <sz val="10"/>
      <color theme="10"/>
      <name val="Arial"/>
      <charset val="134"/>
    </font>
    <font>
      <b/>
      <sz val="10"/>
      <color theme="0"/>
      <name val="Arial"/>
      <charset val="134"/>
    </font>
    <font>
      <b/>
      <u/>
      <sz val="11"/>
      <color theme="10"/>
      <name val="Arial"/>
      <charset val="134"/>
    </font>
    <font>
      <sz val="28"/>
      <color theme="0"/>
      <name val="Calibri"/>
      <charset val="134"/>
      <scheme val="minor"/>
    </font>
    <font>
      <b/>
      <sz val="11"/>
      <color theme="0"/>
      <name val="Calibri"/>
      <charset val="134"/>
      <scheme val="minor"/>
    </font>
    <font>
      <u/>
      <sz val="11"/>
      <color rgb="FF800080"/>
      <name val="Calibri"/>
      <charset val="134"/>
      <scheme val="minor"/>
    </font>
    <font>
      <sz val="10"/>
      <color theme="1"/>
      <name val="Calibri"/>
      <charset val="134"/>
      <scheme val="minor"/>
    </font>
    <font>
      <sz val="11"/>
      <color rgb="FFFF0000"/>
      <name val="Calibri"/>
      <charset val="134"/>
      <scheme val="minor"/>
    </font>
    <font>
      <sz val="18"/>
      <color theme="0"/>
      <name val="Calibri"/>
      <charset val="134"/>
      <scheme val="minor"/>
    </font>
    <font>
      <b/>
      <sz val="11"/>
      <color theme="4"/>
      <name val="Calibri"/>
      <charset val="134"/>
      <scheme val="minor"/>
    </font>
    <font>
      <u/>
      <sz val="11"/>
      <color theme="10"/>
      <name val="Calibri"/>
      <charset val="134"/>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vertAlign val="subscript"/>
      <sz val="10"/>
      <color theme="1"/>
      <name val="Calibri"/>
      <charset val="134"/>
      <scheme val="minor"/>
    </font>
    <font>
      <vertAlign val="subscript"/>
      <sz val="11"/>
      <color theme="1"/>
      <name val="Calibri"/>
      <charset val="134"/>
      <scheme val="minor"/>
    </font>
    <font>
      <vertAlign val="subscript"/>
      <sz val="10"/>
      <name val="Arial"/>
      <charset val="134"/>
    </font>
    <font>
      <vertAlign val="subscript"/>
      <sz val="11"/>
      <color theme="1"/>
      <name val="Calibri"/>
      <charset val="134"/>
    </font>
    <font>
      <vertAlign val="subscript"/>
      <sz val="11"/>
      <name val="Calibri"/>
      <charset val="134"/>
      <scheme val="minor"/>
    </font>
    <font>
      <b/>
      <vertAlign val="subscript"/>
      <sz val="11"/>
      <color rgb="FF0070C0"/>
      <name val="Calibri"/>
      <charset val="134"/>
      <scheme val="minor"/>
    </font>
    <font>
      <b/>
      <sz val="9"/>
      <color indexed="10"/>
      <name val="Tahoma"/>
      <charset val="134"/>
    </font>
    <font>
      <b/>
      <sz val="11"/>
      <color indexed="10"/>
      <name val="Tahoma"/>
      <charset val="134"/>
    </font>
    <font>
      <sz val="9"/>
      <name val="Tahoma"/>
      <charset val="134"/>
    </font>
    <font>
      <b/>
      <sz val="9"/>
      <name val="Tahoma"/>
      <charset val="134"/>
    </font>
    <font>
      <sz val="9"/>
      <color indexed="10"/>
      <name val="Tahoma"/>
      <charset val="134"/>
    </font>
    <font>
      <vertAlign val="subscript"/>
      <sz val="9"/>
      <name val="Tahoma"/>
      <charset val="134"/>
    </font>
    <font>
      <sz val="11"/>
      <color indexed="10"/>
      <name val="Calibri"/>
      <charset val="0"/>
      <scheme val="minor"/>
    </font>
    <font>
      <sz val="11"/>
      <name val="Tahoma"/>
      <charset val="134"/>
    </font>
  </fonts>
  <fills count="50">
    <fill>
      <patternFill patternType="none"/>
    </fill>
    <fill>
      <patternFill patternType="gray125"/>
    </fill>
    <fill>
      <patternFill patternType="solid">
        <fgColor indexed="8"/>
        <bgColor indexed="64"/>
      </patternFill>
    </fill>
    <fill>
      <patternFill patternType="solid">
        <fgColor indexed="22"/>
        <bgColor indexed="64"/>
      </patternFill>
    </fill>
    <fill>
      <patternFill patternType="solid">
        <fgColor indexed="52"/>
        <bgColor indexed="64"/>
      </patternFill>
    </fill>
    <fill>
      <patternFill patternType="solid">
        <fgColor indexed="50"/>
        <bgColor indexed="64"/>
      </patternFill>
    </fill>
    <fill>
      <patternFill patternType="solid">
        <fgColor rgb="FF92D050"/>
        <bgColor indexed="64"/>
      </patternFill>
    </fill>
    <fill>
      <patternFill patternType="solid">
        <fgColor rgb="FFFFC000"/>
        <bgColor indexed="64"/>
      </patternFill>
    </fill>
    <fill>
      <patternFill patternType="solid">
        <fgColor theme="0" tint="-0.249977111117893"/>
        <bgColor indexed="64"/>
      </patternFill>
    </fill>
    <fill>
      <patternFill patternType="solid">
        <fgColor indexed="44"/>
        <bgColor indexed="64"/>
      </patternFill>
    </fill>
    <fill>
      <patternFill patternType="solid">
        <fgColor theme="0" tint="-0.349986266670736"/>
        <bgColor indexed="64"/>
      </patternFill>
    </fill>
    <fill>
      <patternFill patternType="solid">
        <fgColor theme="5" tint="0.799981688894314"/>
        <bgColor indexed="64"/>
      </patternFill>
    </fill>
    <fill>
      <patternFill patternType="solid">
        <fgColor rgb="FFFFFF00"/>
        <bgColor indexed="64"/>
      </patternFill>
    </fill>
    <fill>
      <patternFill patternType="solid">
        <fgColor theme="0"/>
        <bgColor indexed="64"/>
      </patternFill>
    </fill>
    <fill>
      <patternFill patternType="solid">
        <fgColor rgb="FFDE0000"/>
        <bgColor indexed="64"/>
      </patternFill>
    </fill>
    <fill>
      <patternFill patternType="solid">
        <fgColor theme="1"/>
        <bgColor indexed="64"/>
      </patternFill>
    </fill>
    <fill>
      <patternFill patternType="solid">
        <fgColor theme="2" tint="-0.899990844447157"/>
        <bgColor indexed="64"/>
      </patternFill>
    </fill>
    <fill>
      <patternFill patternType="solid">
        <fgColor rgb="FFFF0000"/>
        <bgColor indexed="64"/>
      </patternFill>
    </fill>
    <fill>
      <patternFill patternType="solid">
        <fgColor theme="0" tint="-0.499984740745262"/>
        <bgColor indexed="64"/>
      </patternFill>
    </fill>
    <fill>
      <patternFill patternType="solid">
        <fgColor theme="1" tint="0.049989318521683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5">
    <border>
      <left/>
      <right/>
      <top/>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right/>
      <top style="medium">
        <color auto="1"/>
      </top>
      <bottom style="medium">
        <color auto="1"/>
      </bottom>
      <diagonal/>
    </border>
    <border>
      <left style="medium">
        <color auto="1"/>
      </left>
      <right/>
      <top/>
      <bottom/>
      <diagonal/>
    </border>
    <border>
      <left/>
      <right style="medium">
        <color auto="1"/>
      </right>
      <top/>
      <bottom/>
      <diagonal/>
    </border>
    <border>
      <left/>
      <right/>
      <top style="medium">
        <color auto="1"/>
      </top>
      <bottom/>
      <diagonal/>
    </border>
    <border>
      <left style="medium">
        <color auto="1"/>
      </left>
      <right/>
      <top style="medium">
        <color auto="1"/>
      </top>
      <bottom/>
      <diagonal/>
    </border>
    <border>
      <left/>
      <right style="medium">
        <color auto="1"/>
      </right>
      <top style="medium">
        <color auto="1"/>
      </top>
      <bottom/>
      <diagonal/>
    </border>
    <border>
      <left/>
      <right/>
      <top/>
      <bottom style="medium">
        <color auto="1"/>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style="thin">
        <color auto="1"/>
      </right>
      <top style="thin">
        <color auto="1"/>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bottom style="thin">
        <color auto="1"/>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style="medium">
        <color auto="1"/>
      </right>
      <top style="medium">
        <color auto="1"/>
      </top>
      <bottom style="medium">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6">
    <xf numFmtId="26"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26" fontId="32" fillId="0" borderId="0" applyNumberFormat="0" applyFill="0" applyBorder="0" applyAlignment="0" applyProtection="0"/>
    <xf numFmtId="26" fontId="33" fillId="0" borderId="0" applyNumberFormat="0" applyFill="0" applyBorder="0" applyAlignment="0" applyProtection="0">
      <alignment vertical="center"/>
    </xf>
    <xf numFmtId="26" fontId="0" fillId="20" borderId="27" applyNumberFormat="0" applyFont="0" applyAlignment="0" applyProtection="0">
      <alignment vertical="center"/>
    </xf>
    <xf numFmtId="26" fontId="34" fillId="0" borderId="0" applyNumberFormat="0" applyFill="0" applyBorder="0" applyAlignment="0" applyProtection="0">
      <alignment vertical="center"/>
    </xf>
    <xf numFmtId="26" fontId="35" fillId="0" borderId="0" applyNumberFormat="0" applyFill="0" applyBorder="0" applyAlignment="0" applyProtection="0">
      <alignment vertical="center"/>
    </xf>
    <xf numFmtId="26" fontId="36" fillId="0" borderId="0" applyNumberFormat="0" applyFill="0" applyBorder="0" applyAlignment="0" applyProtection="0">
      <alignment vertical="center"/>
    </xf>
    <xf numFmtId="26" fontId="37" fillId="0" borderId="28" applyNumberFormat="0" applyFill="0" applyAlignment="0" applyProtection="0">
      <alignment vertical="center"/>
    </xf>
    <xf numFmtId="26" fontId="38" fillId="0" borderId="28" applyNumberFormat="0" applyFill="0" applyAlignment="0" applyProtection="0">
      <alignment vertical="center"/>
    </xf>
    <xf numFmtId="26" fontId="39" fillId="0" borderId="29" applyNumberFormat="0" applyFill="0" applyAlignment="0" applyProtection="0">
      <alignment vertical="center"/>
    </xf>
    <xf numFmtId="26" fontId="39" fillId="0" borderId="0" applyNumberFormat="0" applyFill="0" applyBorder="0" applyAlignment="0" applyProtection="0">
      <alignment vertical="center"/>
    </xf>
    <xf numFmtId="26" fontId="40" fillId="21" borderId="30" applyNumberFormat="0" applyAlignment="0" applyProtection="0">
      <alignment vertical="center"/>
    </xf>
    <xf numFmtId="26" fontId="41" fillId="22" borderId="31" applyNumberFormat="0" applyAlignment="0" applyProtection="0">
      <alignment vertical="center"/>
    </xf>
    <xf numFmtId="26" fontId="42" fillId="22" borderId="30" applyNumberFormat="0" applyAlignment="0" applyProtection="0">
      <alignment vertical="center"/>
    </xf>
    <xf numFmtId="26" fontId="43" fillId="23" borderId="32" applyNumberFormat="0" applyAlignment="0" applyProtection="0">
      <alignment vertical="center"/>
    </xf>
    <xf numFmtId="26" fontId="44" fillId="0" borderId="33" applyNumberFormat="0" applyFill="0" applyAlignment="0" applyProtection="0">
      <alignment vertical="center"/>
    </xf>
    <xf numFmtId="26" fontId="45" fillId="0" borderId="34" applyNumberFormat="0" applyFill="0" applyAlignment="0" applyProtection="0">
      <alignment vertical="center"/>
    </xf>
    <xf numFmtId="26" fontId="46" fillId="24" borderId="0" applyNumberFormat="0" applyBorder="0" applyAlignment="0" applyProtection="0">
      <alignment vertical="center"/>
    </xf>
    <xf numFmtId="26" fontId="47" fillId="25" borderId="0" applyNumberFormat="0" applyBorder="0" applyAlignment="0" applyProtection="0">
      <alignment vertical="center"/>
    </xf>
    <xf numFmtId="26" fontId="48" fillId="26" borderId="0" applyNumberFormat="0" applyBorder="0" applyAlignment="0" applyProtection="0">
      <alignment vertical="center"/>
    </xf>
    <xf numFmtId="26" fontId="49" fillId="27" borderId="0" applyNumberFormat="0" applyBorder="0" applyAlignment="0" applyProtection="0">
      <alignment vertical="center"/>
    </xf>
    <xf numFmtId="26" fontId="50" fillId="28" borderId="0" applyNumberFormat="0" applyBorder="0" applyAlignment="0" applyProtection="0">
      <alignment vertical="center"/>
    </xf>
    <xf numFmtId="26" fontId="50" fillId="29" borderId="0" applyNumberFormat="0" applyBorder="0" applyAlignment="0" applyProtection="0">
      <alignment vertical="center"/>
    </xf>
    <xf numFmtId="26" fontId="49" fillId="30" borderId="0" applyNumberFormat="0" applyBorder="0" applyAlignment="0" applyProtection="0">
      <alignment vertical="center"/>
    </xf>
    <xf numFmtId="26" fontId="49" fillId="31" borderId="0" applyNumberFormat="0" applyBorder="0" applyAlignment="0" applyProtection="0">
      <alignment vertical="center"/>
    </xf>
    <xf numFmtId="26" fontId="50" fillId="11" borderId="0" applyNumberFormat="0" applyBorder="0" applyAlignment="0" applyProtection="0">
      <alignment vertical="center"/>
    </xf>
    <xf numFmtId="26" fontId="50" fillId="32" borderId="0" applyNumberFormat="0" applyBorder="0" applyAlignment="0" applyProtection="0">
      <alignment vertical="center"/>
    </xf>
    <xf numFmtId="26" fontId="49" fillId="33" borderId="0" applyNumberFormat="0" applyBorder="0" applyAlignment="0" applyProtection="0">
      <alignment vertical="center"/>
    </xf>
    <xf numFmtId="26" fontId="49" fillId="34" borderId="0" applyNumberFormat="0" applyBorder="0" applyAlignment="0" applyProtection="0">
      <alignment vertical="center"/>
    </xf>
    <xf numFmtId="26" fontId="50" fillId="35" borderId="0" applyNumberFormat="0" applyBorder="0" applyAlignment="0" applyProtection="0">
      <alignment vertical="center"/>
    </xf>
    <xf numFmtId="26" fontId="50" fillId="36" borderId="0" applyNumberFormat="0" applyBorder="0" applyAlignment="0" applyProtection="0">
      <alignment vertical="center"/>
    </xf>
    <xf numFmtId="26" fontId="49" fillId="37" borderId="0" applyNumberFormat="0" applyBorder="0" applyAlignment="0" applyProtection="0">
      <alignment vertical="center"/>
    </xf>
    <xf numFmtId="26" fontId="49" fillId="38" borderId="0" applyNumberFormat="0" applyBorder="0" applyAlignment="0" applyProtection="0">
      <alignment vertical="center"/>
    </xf>
    <xf numFmtId="26" fontId="50" fillId="39" borderId="0" applyNumberFormat="0" applyBorder="0" applyAlignment="0" applyProtection="0">
      <alignment vertical="center"/>
    </xf>
    <xf numFmtId="26" fontId="50" fillId="40" borderId="0" applyNumberFormat="0" applyBorder="0" applyAlignment="0" applyProtection="0">
      <alignment vertical="center"/>
    </xf>
    <xf numFmtId="26" fontId="49" fillId="41" borderId="0" applyNumberFormat="0" applyBorder="0" applyAlignment="0" applyProtection="0">
      <alignment vertical="center"/>
    </xf>
    <xf numFmtId="26" fontId="49" fillId="42" borderId="0" applyNumberFormat="0" applyBorder="0" applyAlignment="0" applyProtection="0">
      <alignment vertical="center"/>
    </xf>
    <xf numFmtId="26" fontId="50" fillId="43" borderId="0" applyNumberFormat="0" applyBorder="0" applyAlignment="0" applyProtection="0">
      <alignment vertical="center"/>
    </xf>
    <xf numFmtId="26" fontId="50" fillId="44" borderId="0" applyNumberFormat="0" applyBorder="0" applyAlignment="0" applyProtection="0">
      <alignment vertical="center"/>
    </xf>
    <xf numFmtId="26" fontId="49" fillId="45" borderId="0" applyNumberFormat="0" applyBorder="0" applyAlignment="0" applyProtection="0">
      <alignment vertical="center"/>
    </xf>
    <xf numFmtId="26" fontId="49" fillId="46" borderId="0" applyNumberFormat="0" applyBorder="0" applyAlignment="0" applyProtection="0">
      <alignment vertical="center"/>
    </xf>
    <xf numFmtId="26" fontId="50" fillId="47" borderId="0" applyNumberFormat="0" applyBorder="0" applyAlignment="0" applyProtection="0">
      <alignment vertical="center"/>
    </xf>
    <xf numFmtId="26" fontId="50" fillId="48" borderId="0" applyNumberFormat="0" applyBorder="0" applyAlignment="0" applyProtection="0">
      <alignment vertical="center"/>
    </xf>
    <xf numFmtId="26" fontId="49" fillId="49" borderId="0" applyNumberFormat="0" applyBorder="0" applyAlignment="0" applyProtection="0">
      <alignment vertical="center"/>
    </xf>
    <xf numFmtId="180" fontId="0" fillId="0" borderId="0" applyFont="0" applyFill="0" applyBorder="0" applyAlignment="0" applyProtection="0"/>
    <xf numFmtId="180" fontId="3" fillId="0" borderId="0" applyFont="0" applyFill="0" applyBorder="0" applyAlignment="0" applyProtection="0"/>
    <xf numFmtId="26" fontId="3" fillId="0" borderId="0"/>
    <xf numFmtId="26" fontId="0" fillId="0" borderId="0"/>
    <xf numFmtId="26" fontId="3" fillId="0" borderId="0"/>
    <xf numFmtId="26" fontId="3" fillId="0" borderId="0"/>
    <xf numFmtId="26" fontId="3" fillId="0" borderId="0"/>
  </cellStyleXfs>
  <cellXfs count="271">
    <xf numFmtId="26" fontId="0" fillId="0" borderId="0" xfId="0"/>
    <xf numFmtId="26" fontId="1" fillId="2" borderId="0" xfId="51" applyFont="1" applyFill="1" applyAlignment="1">
      <alignment horizontal="center"/>
    </xf>
    <xf numFmtId="26" fontId="2" fillId="0" borderId="0" xfId="51" applyFont="1" applyFill="1" applyAlignment="1">
      <alignment horizontal="center"/>
    </xf>
    <xf numFmtId="26" fontId="2" fillId="3" borderId="0" xfId="51" applyFont="1" applyFill="1" applyAlignment="1">
      <alignment horizontal="center"/>
    </xf>
    <xf numFmtId="26" fontId="3" fillId="0" borderId="0" xfId="51"/>
    <xf numFmtId="26" fontId="2" fillId="4" borderId="0" xfId="51" applyFont="1" applyFill="1" applyAlignment="1">
      <alignment horizontal="center"/>
    </xf>
    <xf numFmtId="26" fontId="2" fillId="5" borderId="0" xfId="51" applyFont="1" applyFill="1" applyAlignment="1">
      <alignment horizontal="center"/>
    </xf>
    <xf numFmtId="26" fontId="2" fillId="0" borderId="0" xfId="51" applyFont="1"/>
    <xf numFmtId="26" fontId="2" fillId="0" borderId="0" xfId="51" applyFont="1" applyAlignment="1">
      <alignment horizontal="center"/>
    </xf>
    <xf numFmtId="26" fontId="3" fillId="0" borderId="0" xfId="51" applyFont="1"/>
    <xf numFmtId="26" fontId="0" fillId="6" borderId="0" xfId="0" applyFill="1"/>
    <xf numFmtId="181" fontId="0" fillId="7" borderId="0" xfId="0" applyNumberFormat="1" applyFill="1"/>
    <xf numFmtId="26" fontId="0" fillId="7" borderId="0" xfId="0" applyFill="1"/>
    <xf numFmtId="26" fontId="0" fillId="0" borderId="0" xfId="0" applyFill="1"/>
    <xf numFmtId="26" fontId="4" fillId="0" borderId="0" xfId="0" applyFont="1"/>
    <xf numFmtId="26" fontId="0" fillId="8" borderId="0" xfId="0" applyFill="1"/>
    <xf numFmtId="26" fontId="5" fillId="0" borderId="0" xfId="0" applyFont="1"/>
    <xf numFmtId="26" fontId="6" fillId="0" borderId="0" xfId="0" applyFont="1"/>
    <xf numFmtId="2" fontId="0" fillId="0" borderId="0" xfId="0" applyNumberFormat="1" applyBorder="1"/>
    <xf numFmtId="26" fontId="6" fillId="7" borderId="0" xfId="0" applyFont="1" applyFill="1" applyAlignment="1">
      <alignment horizontal="center"/>
    </xf>
    <xf numFmtId="26" fontId="2" fillId="0" borderId="0" xfId="51" applyFont="1" applyFill="1" applyAlignment="1">
      <alignment horizontal="right"/>
    </xf>
    <xf numFmtId="26" fontId="3" fillId="0" borderId="0" xfId="51" applyFont="1" applyFill="1" applyAlignment="1">
      <alignment horizontal="center"/>
    </xf>
    <xf numFmtId="26" fontId="2" fillId="0" borderId="0" xfId="51" applyFont="1" applyFill="1" applyAlignment="1">
      <alignment horizontal="left"/>
    </xf>
    <xf numFmtId="26" fontId="0" fillId="0" borderId="1" xfId="0" applyBorder="1"/>
    <xf numFmtId="26" fontId="0" fillId="0" borderId="2" xfId="0" applyBorder="1"/>
    <xf numFmtId="26" fontId="6" fillId="0" borderId="3" xfId="0" applyFont="1" applyBorder="1" applyAlignment="1">
      <alignment horizontal="center"/>
    </xf>
    <xf numFmtId="26" fontId="6" fillId="0" borderId="2" xfId="0" applyFont="1" applyBorder="1" applyAlignment="1">
      <alignment horizontal="center"/>
    </xf>
    <xf numFmtId="26" fontId="6" fillId="0" borderId="1" xfId="0" applyFont="1" applyBorder="1" applyAlignment="1">
      <alignment horizontal="center"/>
    </xf>
    <xf numFmtId="26" fontId="6" fillId="0" borderId="4" xfId="0" applyFont="1" applyBorder="1" applyAlignment="1">
      <alignment horizontal="center"/>
    </xf>
    <xf numFmtId="26" fontId="6" fillId="0" borderId="0" xfId="0" applyFont="1" applyBorder="1" applyAlignment="1">
      <alignment horizontal="center"/>
    </xf>
    <xf numFmtId="26" fontId="0" fillId="0" borderId="4" xfId="0" applyBorder="1"/>
    <xf numFmtId="26" fontId="0" fillId="0" borderId="5" xfId="0" applyBorder="1"/>
    <xf numFmtId="26" fontId="0" fillId="0" borderId="0" xfId="0" applyBorder="1"/>
    <xf numFmtId="26" fontId="3" fillId="0" borderId="0" xfId="51" applyBorder="1" applyAlignment="1">
      <alignment horizontal="center"/>
    </xf>
    <xf numFmtId="26" fontId="0" fillId="0" borderId="0" xfId="0" applyBorder="1" applyAlignment="1">
      <alignment horizontal="center"/>
    </xf>
    <xf numFmtId="26" fontId="0" fillId="0" borderId="4" xfId="0" applyBorder="1" applyAlignment="1">
      <alignment horizontal="center"/>
    </xf>
    <xf numFmtId="26" fontId="0" fillId="0" borderId="5" xfId="0" applyBorder="1" applyAlignment="1">
      <alignment horizontal="center"/>
    </xf>
    <xf numFmtId="26" fontId="0" fillId="0" borderId="6" xfId="0" applyBorder="1" applyAlignment="1">
      <alignment horizontal="center"/>
    </xf>
    <xf numFmtId="26" fontId="0" fillId="0" borderId="7" xfId="0" applyBorder="1" applyAlignment="1">
      <alignment horizontal="center"/>
    </xf>
    <xf numFmtId="26" fontId="0" fillId="0" borderId="8" xfId="0" applyBorder="1" applyAlignment="1">
      <alignment horizontal="center"/>
    </xf>
    <xf numFmtId="26" fontId="0" fillId="0" borderId="0" xfId="0" applyAlignment="1">
      <alignment horizontal="center"/>
    </xf>
    <xf numFmtId="26" fontId="2" fillId="0" borderId="0" xfId="51" applyFont="1" applyFill="1"/>
    <xf numFmtId="26" fontId="3" fillId="0" borderId="0" xfId="51" applyBorder="1"/>
    <xf numFmtId="26" fontId="3" fillId="0" borderId="0" xfId="51" applyFill="1" applyBorder="1"/>
    <xf numFmtId="26" fontId="3" fillId="0" borderId="4" xfId="51" applyFill="1" applyBorder="1"/>
    <xf numFmtId="26" fontId="3" fillId="0" borderId="5" xfId="51" applyFill="1" applyBorder="1"/>
    <xf numFmtId="26" fontId="3" fillId="0" borderId="0" xfId="51" applyFont="1" applyFill="1" applyBorder="1"/>
    <xf numFmtId="26" fontId="3" fillId="0" borderId="9" xfId="51" applyFont="1" applyBorder="1"/>
    <xf numFmtId="26" fontId="3" fillId="0" borderId="10" xfId="51" applyFill="1" applyBorder="1"/>
    <xf numFmtId="26" fontId="3" fillId="0" borderId="9" xfId="51" applyFill="1" applyBorder="1"/>
    <xf numFmtId="26" fontId="3" fillId="0" borderId="11" xfId="51" applyFill="1" applyBorder="1"/>
    <xf numFmtId="182" fontId="3" fillId="0" borderId="3" xfId="51" applyNumberFormat="1" applyBorder="1"/>
    <xf numFmtId="26" fontId="3" fillId="0" borderId="3" xfId="51" applyBorder="1"/>
    <xf numFmtId="26" fontId="0" fillId="0" borderId="3" xfId="0" applyBorder="1"/>
    <xf numFmtId="26" fontId="3" fillId="0" borderId="1" xfId="51" applyBorder="1"/>
    <xf numFmtId="182" fontId="0" fillId="0" borderId="3" xfId="0" applyNumberFormat="1" applyBorder="1"/>
    <xf numFmtId="26" fontId="7" fillId="0" borderId="0" xfId="51" applyFont="1"/>
    <xf numFmtId="26" fontId="0" fillId="0" borderId="7" xfId="0" applyBorder="1"/>
    <xf numFmtId="1" fontId="0" fillId="0" borderId="8" xfId="0" applyNumberFormat="1" applyBorder="1"/>
    <xf numFmtId="182" fontId="3" fillId="0" borderId="6" xfId="51" applyNumberFormat="1" applyBorder="1"/>
    <xf numFmtId="26" fontId="3" fillId="0" borderId="6" xfId="51" applyBorder="1"/>
    <xf numFmtId="26" fontId="0" fillId="0" borderId="6" xfId="0" applyBorder="1"/>
    <xf numFmtId="26" fontId="3" fillId="0" borderId="7" xfId="51" applyBorder="1"/>
    <xf numFmtId="182" fontId="0" fillId="0" borderId="6" xfId="0" applyNumberFormat="1" applyBorder="1"/>
    <xf numFmtId="26" fontId="0" fillId="0" borderId="8" xfId="0" applyBorder="1"/>
    <xf numFmtId="1" fontId="0" fillId="0" borderId="5" xfId="0" applyNumberFormat="1" applyBorder="1"/>
    <xf numFmtId="182" fontId="3" fillId="0" borderId="0" xfId="51" applyNumberFormat="1" applyBorder="1"/>
    <xf numFmtId="26" fontId="3" fillId="0" borderId="4" xfId="51" applyBorder="1"/>
    <xf numFmtId="182" fontId="0" fillId="0" borderId="0" xfId="0" applyNumberFormat="1" applyBorder="1"/>
    <xf numFmtId="26" fontId="0" fillId="0" borderId="10" xfId="0" applyBorder="1"/>
    <xf numFmtId="1" fontId="0" fillId="0" borderId="11" xfId="0" applyNumberFormat="1" applyBorder="1"/>
    <xf numFmtId="182" fontId="3" fillId="0" borderId="9" xfId="51" applyNumberFormat="1" applyBorder="1"/>
    <xf numFmtId="26" fontId="3" fillId="0" borderId="9" xfId="51" applyBorder="1"/>
    <xf numFmtId="26" fontId="0" fillId="0" borderId="9" xfId="0" applyBorder="1"/>
    <xf numFmtId="26" fontId="3" fillId="0" borderId="10" xfId="51" applyBorder="1"/>
    <xf numFmtId="182" fontId="0" fillId="0" borderId="9" xfId="0" applyNumberFormat="1" applyBorder="1"/>
    <xf numFmtId="26" fontId="0" fillId="0" borderId="11" xfId="0" applyBorder="1"/>
    <xf numFmtId="26" fontId="0" fillId="9" borderId="0" xfId="0" applyFill="1"/>
    <xf numFmtId="2" fontId="0" fillId="0" borderId="0" xfId="0" applyNumberFormat="1"/>
    <xf numFmtId="26" fontId="8" fillId="0" borderId="0" xfId="0" applyFont="1"/>
    <xf numFmtId="26" fontId="0" fillId="0" borderId="0" xfId="0" applyProtection="1">
      <protection hidden="1"/>
    </xf>
    <xf numFmtId="2" fontId="0" fillId="0" borderId="1" xfId="0" applyNumberFormat="1" applyBorder="1"/>
    <xf numFmtId="2" fontId="0" fillId="0" borderId="4" xfId="0" applyNumberFormat="1" applyBorder="1"/>
    <xf numFmtId="2" fontId="0" fillId="0" borderId="10" xfId="0" applyNumberFormat="1" applyBorder="1"/>
    <xf numFmtId="26" fontId="3" fillId="0" borderId="9" xfId="51" applyFont="1" applyFill="1" applyBorder="1"/>
    <xf numFmtId="26" fontId="0" fillId="10" borderId="0" xfId="0" applyFill="1"/>
    <xf numFmtId="182" fontId="3" fillId="0" borderId="0" xfId="51" applyNumberFormat="1"/>
    <xf numFmtId="26" fontId="9" fillId="0" borderId="0" xfId="0" applyFont="1"/>
    <xf numFmtId="182" fontId="0" fillId="7" borderId="0" xfId="0" applyNumberFormat="1" applyFill="1"/>
    <xf numFmtId="1" fontId="0" fillId="7" borderId="0" xfId="0" applyNumberFormat="1" applyFill="1"/>
    <xf numFmtId="2" fontId="0" fillId="7" borderId="0" xfId="0" applyNumberFormat="1" applyFill="1"/>
    <xf numFmtId="26" fontId="2" fillId="0" borderId="0" xfId="0" applyFont="1" applyBorder="1"/>
    <xf numFmtId="2" fontId="3" fillId="0" borderId="0" xfId="0" applyNumberFormat="1" applyFont="1" applyBorder="1"/>
    <xf numFmtId="26" fontId="0" fillId="0" borderId="0" xfId="0" applyBorder="1" applyAlignment="1">
      <alignment horizontal="left"/>
    </xf>
    <xf numFmtId="26" fontId="2" fillId="0" borderId="0" xfId="0" applyFont="1" applyBorder="1" applyAlignment="1">
      <alignment horizontal="left"/>
    </xf>
    <xf numFmtId="182" fontId="0" fillId="0" borderId="0" xfId="0" applyNumberFormat="1"/>
    <xf numFmtId="26" fontId="0" fillId="0" borderId="12" xfId="0" applyBorder="1"/>
    <xf numFmtId="26" fontId="0" fillId="0" borderId="13" xfId="0" applyBorder="1" applyAlignment="1">
      <alignment horizontal="center"/>
    </xf>
    <xf numFmtId="26" fontId="0" fillId="0" borderId="14" xfId="0" applyBorder="1" applyAlignment="1">
      <alignment horizontal="center"/>
    </xf>
    <xf numFmtId="26" fontId="0" fillId="0" borderId="15" xfId="0" applyBorder="1" applyAlignment="1">
      <alignment horizontal="center"/>
    </xf>
    <xf numFmtId="26" fontId="0" fillId="0" borderId="13" xfId="0" applyBorder="1" applyAlignment="1">
      <alignment horizontal="center" wrapText="1"/>
    </xf>
    <xf numFmtId="26" fontId="0" fillId="0" borderId="14" xfId="0" applyBorder="1" applyAlignment="1">
      <alignment horizontal="center" wrapText="1"/>
    </xf>
    <xf numFmtId="26" fontId="0" fillId="0" borderId="15" xfId="0" applyBorder="1" applyAlignment="1">
      <alignment horizontal="center" wrapText="1"/>
    </xf>
    <xf numFmtId="26" fontId="0" fillId="0" borderId="14" xfId="0" applyBorder="1"/>
    <xf numFmtId="26" fontId="0" fillId="0" borderId="15" xfId="0" applyBorder="1"/>
    <xf numFmtId="26" fontId="0" fillId="0" borderId="16" xfId="0" applyBorder="1"/>
    <xf numFmtId="26" fontId="0" fillId="0" borderId="17" xfId="0" applyBorder="1"/>
    <xf numFmtId="26" fontId="0" fillId="0" borderId="18" xfId="0" applyBorder="1"/>
    <xf numFmtId="26" fontId="0" fillId="0" borderId="16" xfId="0" applyFill="1" applyBorder="1"/>
    <xf numFmtId="26" fontId="0" fillId="0" borderId="17" xfId="0" applyFill="1" applyBorder="1"/>
    <xf numFmtId="26" fontId="0" fillId="11" borderId="17" xfId="0" applyFill="1" applyBorder="1"/>
    <xf numFmtId="26" fontId="0" fillId="11" borderId="18" xfId="0" applyFill="1" applyBorder="1"/>
    <xf numFmtId="26" fontId="0" fillId="0" borderId="18" xfId="0" applyFill="1" applyBorder="1"/>
    <xf numFmtId="26" fontId="0" fillId="0" borderId="19" xfId="0" applyBorder="1"/>
    <xf numFmtId="26" fontId="0" fillId="0" borderId="20" xfId="0" applyBorder="1"/>
    <xf numFmtId="26" fontId="0" fillId="0" borderId="21" xfId="0" applyBorder="1"/>
    <xf numFmtId="26" fontId="10" fillId="0" borderId="0" xfId="51" applyFont="1" applyBorder="1"/>
    <xf numFmtId="26" fontId="2" fillId="0" borderId="0" xfId="51" applyFont="1" applyBorder="1"/>
    <xf numFmtId="26" fontId="2" fillId="0" borderId="0" xfId="51" applyFont="1" applyBorder="1" applyAlignment="1">
      <alignment horizontal="center"/>
    </xf>
    <xf numFmtId="2" fontId="0" fillId="8" borderId="0" xfId="0" applyNumberFormat="1" applyFill="1"/>
    <xf numFmtId="26" fontId="0" fillId="12" borderId="0" xfId="0" applyFill="1"/>
    <xf numFmtId="26" fontId="0" fillId="0" borderId="0" xfId="0" applyFont="1"/>
    <xf numFmtId="26" fontId="11" fillId="0" borderId="0" xfId="0" applyFont="1" applyFill="1" applyBorder="1"/>
    <xf numFmtId="26" fontId="12" fillId="0" borderId="0" xfId="0" applyFont="1" applyFill="1" applyBorder="1"/>
    <xf numFmtId="11" fontId="0" fillId="7" borderId="0" xfId="0" applyNumberFormat="1" applyFill="1"/>
    <xf numFmtId="26" fontId="13" fillId="0" borderId="0" xfId="0" applyFont="1"/>
    <xf numFmtId="26" fontId="0" fillId="6" borderId="0" xfId="0" applyFont="1" applyFill="1"/>
    <xf numFmtId="11" fontId="0" fillId="0" borderId="0" xfId="0" applyNumberFormat="1" applyFill="1"/>
    <xf numFmtId="11" fontId="14" fillId="8" borderId="0" xfId="0" applyNumberFormat="1" applyFont="1" applyFill="1"/>
    <xf numFmtId="11" fontId="14" fillId="0" borderId="0" xfId="0" applyNumberFormat="1" applyFont="1" applyFill="1"/>
    <xf numFmtId="26" fontId="15" fillId="0" borderId="0" xfId="0" applyFont="1"/>
    <xf numFmtId="183" fontId="0" fillId="7" borderId="0" xfId="0" applyNumberFormat="1" applyFill="1"/>
    <xf numFmtId="26" fontId="16" fillId="0" borderId="0" xfId="0" applyFont="1"/>
    <xf numFmtId="181" fontId="0" fillId="0" borderId="0" xfId="0" applyNumberFormat="1" applyFill="1"/>
    <xf numFmtId="182" fontId="0" fillId="0" borderId="0" xfId="0" applyNumberFormat="1" applyFill="1"/>
    <xf numFmtId="2" fontId="0" fillId="0" borderId="0" xfId="0" applyNumberFormat="1" applyFill="1"/>
    <xf numFmtId="184" fontId="0" fillId="7" borderId="0" xfId="0" applyNumberFormat="1" applyFill="1"/>
    <xf numFmtId="185" fontId="0" fillId="7" borderId="0" xfId="0" applyNumberFormat="1" applyFill="1"/>
    <xf numFmtId="26" fontId="14" fillId="8" borderId="0" xfId="0" applyFont="1" applyFill="1"/>
    <xf numFmtId="26" fontId="17" fillId="0" borderId="0" xfId="0" applyFont="1"/>
    <xf numFmtId="26" fontId="0" fillId="0" borderId="0" xfId="0" applyFill="1" applyBorder="1"/>
    <xf numFmtId="1" fontId="0" fillId="0" borderId="0" xfId="0" applyNumberFormat="1" applyFill="1"/>
    <xf numFmtId="26" fontId="5" fillId="0" borderId="0" xfId="0" applyFont="1" applyFill="1"/>
    <xf numFmtId="26" fontId="18" fillId="0" borderId="0" xfId="0" applyFont="1"/>
    <xf numFmtId="186" fontId="0" fillId="0" borderId="0" xfId="0" applyNumberFormat="1"/>
    <xf numFmtId="1" fontId="0" fillId="0" borderId="0" xfId="0" applyNumberFormat="1"/>
    <xf numFmtId="187" fontId="0" fillId="7" borderId="0" xfId="0" applyNumberFormat="1" applyFill="1"/>
    <xf numFmtId="26" fontId="14" fillId="0" borderId="0" xfId="0" applyFont="1"/>
    <xf numFmtId="26" fontId="3" fillId="0" borderId="0" xfId="51" applyFont="1" applyFill="1" applyBorder="1" applyAlignment="1" applyProtection="1">
      <alignment horizontal="left"/>
    </xf>
    <xf numFmtId="26" fontId="3" fillId="0" borderId="9" xfId="51" applyFont="1" applyFill="1" applyBorder="1" applyAlignment="1" applyProtection="1">
      <alignment horizontal="left"/>
    </xf>
    <xf numFmtId="26" fontId="19" fillId="13" borderId="0" xfId="0" applyFont="1" applyFill="1" applyAlignment="1">
      <alignment horizontal="center"/>
    </xf>
    <xf numFmtId="26" fontId="19" fillId="13" borderId="0" xfId="0" applyFont="1" applyFill="1" applyAlignment="1">
      <alignment horizontal="left"/>
    </xf>
    <xf numFmtId="26" fontId="19" fillId="13" borderId="0" xfId="0" applyFont="1" applyFill="1"/>
    <xf numFmtId="26" fontId="19" fillId="14" borderId="0" xfId="0" applyFont="1" applyFill="1" applyAlignment="1">
      <alignment horizontal="center"/>
    </xf>
    <xf numFmtId="26" fontId="20" fillId="13" borderId="0" xfId="0" applyFont="1" applyFill="1" applyAlignment="1">
      <alignment horizontal="center"/>
    </xf>
    <xf numFmtId="49" fontId="20" fillId="13" borderId="0" xfId="0" applyNumberFormat="1" applyFont="1" applyFill="1" applyAlignment="1">
      <alignment horizontal="left"/>
    </xf>
    <xf numFmtId="26" fontId="21" fillId="13" borderId="0" xfId="0" applyFont="1" applyFill="1"/>
    <xf numFmtId="26" fontId="22" fillId="13" borderId="0" xfId="6" applyFont="1" applyFill="1" applyBorder="1" applyAlignment="1">
      <alignment vertical="center"/>
    </xf>
    <xf numFmtId="26" fontId="22" fillId="13" borderId="0" xfId="6" applyFont="1" applyFill="1" applyBorder="1" applyAlignment="1">
      <alignment horizontal="right" vertical="center"/>
    </xf>
    <xf numFmtId="26" fontId="20" fillId="13" borderId="0" xfId="0" applyFont="1" applyFill="1" applyAlignment="1">
      <alignment horizontal="left"/>
    </xf>
    <xf numFmtId="26" fontId="21" fillId="13" borderId="0" xfId="0" applyFont="1" applyFill="1" applyAlignment="1">
      <alignment horizontal="center"/>
    </xf>
    <xf numFmtId="26" fontId="3" fillId="13" borderId="0" xfId="0" applyFont="1" applyFill="1" applyAlignment="1"/>
    <xf numFmtId="26" fontId="23" fillId="13" borderId="0" xfId="0" applyFont="1" applyFill="1" applyAlignment="1">
      <alignment horizontal="center"/>
    </xf>
    <xf numFmtId="26" fontId="23" fillId="15" borderId="0" xfId="0" applyFont="1" applyFill="1" applyAlignment="1">
      <alignment horizontal="left"/>
    </xf>
    <xf numFmtId="26" fontId="21" fillId="13" borderId="0" xfId="0" applyFont="1" applyFill="1" applyAlignment="1">
      <alignment horizontal="left"/>
    </xf>
    <xf numFmtId="49" fontId="21" fillId="13" borderId="0" xfId="0" applyNumberFormat="1" applyFont="1" applyFill="1" applyAlignment="1">
      <alignment horizontal="center"/>
    </xf>
    <xf numFmtId="26" fontId="21" fillId="13" borderId="0" xfId="0" applyFont="1" applyFill="1" applyAlignment="1">
      <alignment wrapText="1"/>
    </xf>
    <xf numFmtId="26" fontId="24" fillId="13" borderId="0" xfId="6" applyFont="1" applyFill="1" applyBorder="1" applyAlignment="1">
      <alignment vertical="center"/>
    </xf>
    <xf numFmtId="26" fontId="0" fillId="16" borderId="0" xfId="0" applyFill="1" applyBorder="1" applyProtection="1">
      <protection hidden="1"/>
    </xf>
    <xf numFmtId="26" fontId="0" fillId="16" borderId="22" xfId="0" applyFill="1" applyBorder="1" applyProtection="1">
      <protection hidden="1"/>
    </xf>
    <xf numFmtId="26" fontId="0" fillId="16" borderId="0" xfId="0" applyFill="1" applyProtection="1">
      <protection hidden="1"/>
    </xf>
    <xf numFmtId="26" fontId="0" fillId="16" borderId="0" xfId="0" applyFill="1" applyAlignment="1" applyProtection="1">
      <alignment horizontal="right"/>
      <protection hidden="1"/>
    </xf>
    <xf numFmtId="26" fontId="14" fillId="16" borderId="0" xfId="0" applyFont="1" applyFill="1" applyProtection="1">
      <protection hidden="1"/>
    </xf>
    <xf numFmtId="26" fontId="0" fillId="17" borderId="0" xfId="0" applyFill="1" applyProtection="1">
      <protection hidden="1"/>
    </xf>
    <xf numFmtId="26" fontId="25" fillId="17" borderId="0" xfId="0" applyFont="1" applyFill="1" applyAlignment="1" applyProtection="1">
      <alignment horizontal="left" vertical="center"/>
      <protection hidden="1"/>
    </xf>
    <xf numFmtId="26" fontId="0" fillId="17" borderId="0" xfId="0" applyFill="1" applyAlignment="1" applyProtection="1">
      <alignment horizontal="right"/>
      <protection hidden="1"/>
    </xf>
    <xf numFmtId="26" fontId="0" fillId="17" borderId="0" xfId="0" applyFill="1" applyBorder="1" applyProtection="1">
      <protection hidden="1"/>
    </xf>
    <xf numFmtId="26" fontId="14" fillId="18" borderId="0" xfId="0" applyFont="1" applyFill="1" applyProtection="1">
      <protection hidden="1"/>
    </xf>
    <xf numFmtId="26" fontId="0" fillId="18" borderId="0" xfId="0" applyFill="1" applyBorder="1" applyProtection="1">
      <protection hidden="1"/>
    </xf>
    <xf numFmtId="26" fontId="0" fillId="18" borderId="0" xfId="0" applyFill="1" applyBorder="1" applyAlignment="1" applyProtection="1">
      <alignment horizontal="right"/>
      <protection hidden="1"/>
    </xf>
    <xf numFmtId="26" fontId="14" fillId="18" borderId="0" xfId="0" applyFont="1" applyFill="1" applyBorder="1" applyProtection="1">
      <protection hidden="1"/>
    </xf>
    <xf numFmtId="26" fontId="26" fillId="18" borderId="0" xfId="0" applyFont="1" applyFill="1" applyBorder="1" applyProtection="1">
      <protection hidden="1"/>
    </xf>
    <xf numFmtId="26" fontId="0" fillId="12" borderId="0" xfId="0" applyFill="1" applyBorder="1" applyProtection="1">
      <protection hidden="1"/>
    </xf>
    <xf numFmtId="26" fontId="27" fillId="18" borderId="0" xfId="6" applyFont="1" applyFill="1" applyBorder="1" applyAlignment="1" applyProtection="1">
      <alignment horizontal="right"/>
      <protection locked="0"/>
    </xf>
    <xf numFmtId="26" fontId="0" fillId="18" borderId="22" xfId="0" applyFill="1" applyBorder="1" applyProtection="1">
      <protection hidden="1"/>
    </xf>
    <xf numFmtId="26" fontId="0" fillId="18" borderId="22" xfId="0" applyFill="1" applyBorder="1" applyAlignment="1" applyProtection="1">
      <alignment horizontal="right"/>
      <protection hidden="1"/>
    </xf>
    <xf numFmtId="26" fontId="14" fillId="18" borderId="22" xfId="0" applyFont="1" applyFill="1" applyBorder="1" applyProtection="1">
      <protection hidden="1"/>
    </xf>
    <xf numFmtId="26" fontId="0" fillId="13" borderId="0" xfId="0" applyFill="1" applyProtection="1">
      <protection hidden="1"/>
    </xf>
    <xf numFmtId="26" fontId="0" fillId="13" borderId="0" xfId="0" applyFill="1" applyAlignment="1" applyProtection="1">
      <alignment horizontal="right"/>
      <protection hidden="1"/>
    </xf>
    <xf numFmtId="49" fontId="0" fillId="13" borderId="0" xfId="0" applyNumberFormat="1" applyFill="1" applyProtection="1">
      <protection hidden="1"/>
    </xf>
    <xf numFmtId="26" fontId="0" fillId="13" borderId="0" xfId="0" applyFill="1" applyBorder="1" applyProtection="1">
      <protection hidden="1"/>
    </xf>
    <xf numFmtId="26" fontId="11" fillId="13" borderId="0" xfId="0" applyFont="1" applyFill="1" applyProtection="1">
      <protection hidden="1"/>
    </xf>
    <xf numFmtId="26" fontId="0" fillId="13" borderId="7" xfId="0" applyFill="1" applyBorder="1" applyProtection="1">
      <protection hidden="1"/>
    </xf>
    <xf numFmtId="26" fontId="0" fillId="13" borderId="6" xfId="0" applyFill="1" applyBorder="1" applyProtection="1">
      <protection hidden="1"/>
    </xf>
    <xf numFmtId="26" fontId="28" fillId="13" borderId="6" xfId="51" applyFont="1" applyFill="1" applyBorder="1" applyAlignment="1" applyProtection="1">
      <alignment horizontal="right"/>
      <protection hidden="1"/>
    </xf>
    <xf numFmtId="26" fontId="0" fillId="12" borderId="23" xfId="0" applyFill="1" applyBorder="1" applyProtection="1">
      <protection locked="0"/>
    </xf>
    <xf numFmtId="26" fontId="0" fillId="13" borderId="8" xfId="0" applyFill="1" applyBorder="1" applyProtection="1">
      <protection hidden="1"/>
    </xf>
    <xf numFmtId="26" fontId="0" fillId="13" borderId="4" xfId="0" applyFill="1" applyBorder="1" applyProtection="1">
      <protection hidden="1"/>
    </xf>
    <xf numFmtId="26" fontId="28" fillId="13" borderId="0" xfId="51" applyFont="1" applyFill="1" applyBorder="1" applyAlignment="1" applyProtection="1">
      <alignment horizontal="right"/>
      <protection hidden="1"/>
    </xf>
    <xf numFmtId="26" fontId="0" fillId="12" borderId="24" xfId="0" applyFill="1" applyBorder="1" applyProtection="1">
      <protection locked="0"/>
    </xf>
    <xf numFmtId="26" fontId="0" fillId="13" borderId="5" xfId="0" applyFill="1" applyBorder="1" applyProtection="1">
      <protection hidden="1"/>
    </xf>
    <xf numFmtId="2" fontId="0" fillId="13" borderId="24" xfId="0" applyNumberFormat="1" applyFill="1" applyBorder="1" applyProtection="1">
      <protection hidden="1"/>
    </xf>
    <xf numFmtId="26" fontId="0" fillId="13" borderId="24" xfId="0" applyFill="1" applyBorder="1" applyProtection="1">
      <protection hidden="1"/>
    </xf>
    <xf numFmtId="26" fontId="28" fillId="13" borderId="4" xfId="0" applyFont="1" applyFill="1" applyBorder="1" applyProtection="1">
      <protection hidden="1"/>
    </xf>
    <xf numFmtId="26" fontId="28" fillId="13" borderId="0" xfId="0" applyFont="1" applyFill="1" applyBorder="1" applyProtection="1">
      <protection hidden="1"/>
    </xf>
    <xf numFmtId="26" fontId="28" fillId="13" borderId="0" xfId="0" applyFont="1" applyFill="1" applyBorder="1" applyAlignment="1" applyProtection="1">
      <alignment horizontal="right"/>
      <protection hidden="1"/>
    </xf>
    <xf numFmtId="186" fontId="0" fillId="13" borderId="24" xfId="0" applyNumberFormat="1" applyFill="1" applyBorder="1" applyProtection="1">
      <protection hidden="1"/>
    </xf>
    <xf numFmtId="26" fontId="28" fillId="13" borderId="10" xfId="0" applyFont="1" applyFill="1" applyBorder="1" applyProtection="1">
      <protection hidden="1"/>
    </xf>
    <xf numFmtId="26" fontId="28" fillId="13" borderId="9" xfId="0" applyFont="1" applyFill="1" applyBorder="1" applyProtection="1">
      <protection hidden="1"/>
    </xf>
    <xf numFmtId="26" fontId="0" fillId="13" borderId="9" xfId="0" applyFill="1" applyBorder="1" applyProtection="1">
      <protection hidden="1"/>
    </xf>
    <xf numFmtId="26" fontId="28" fillId="13" borderId="9" xfId="0" applyFont="1" applyFill="1" applyBorder="1" applyAlignment="1" applyProtection="1">
      <alignment horizontal="right"/>
      <protection hidden="1"/>
    </xf>
    <xf numFmtId="186" fontId="0" fillId="13" borderId="25" xfId="0" applyNumberFormat="1" applyFill="1" applyBorder="1" applyProtection="1">
      <protection hidden="1"/>
    </xf>
    <xf numFmtId="26" fontId="0" fillId="13" borderId="11" xfId="0" applyFill="1" applyBorder="1" applyProtection="1">
      <protection hidden="1"/>
    </xf>
    <xf numFmtId="26" fontId="28" fillId="13" borderId="0" xfId="0" applyFont="1" applyFill="1" applyProtection="1">
      <protection hidden="1"/>
    </xf>
    <xf numFmtId="26" fontId="11" fillId="13" borderId="0" xfId="0" applyFont="1" applyFill="1" applyBorder="1" applyProtection="1">
      <protection hidden="1"/>
    </xf>
    <xf numFmtId="26" fontId="11" fillId="13" borderId="7" xfId="0" applyFont="1" applyFill="1" applyBorder="1" applyProtection="1">
      <protection hidden="1"/>
    </xf>
    <xf numFmtId="26" fontId="28" fillId="13" borderId="6" xfId="0" applyFont="1" applyFill="1" applyBorder="1" applyProtection="1">
      <protection hidden="1"/>
    </xf>
    <xf numFmtId="26" fontId="28" fillId="13" borderId="6" xfId="0" applyFont="1" applyFill="1" applyBorder="1" applyAlignment="1" applyProtection="1">
      <alignment horizontal="right"/>
      <protection hidden="1"/>
    </xf>
    <xf numFmtId="26" fontId="6" fillId="13" borderId="23" xfId="0" applyFont="1" applyFill="1" applyBorder="1" applyAlignment="1" applyProtection="1">
      <alignment horizontal="center"/>
      <protection hidden="1"/>
    </xf>
    <xf numFmtId="2" fontId="0" fillId="0" borderId="24" xfId="0" applyNumberFormat="1" applyBorder="1" applyProtection="1">
      <protection hidden="1"/>
    </xf>
    <xf numFmtId="26" fontId="0" fillId="13" borderId="10" xfId="0" applyFill="1" applyBorder="1" applyProtection="1">
      <protection hidden="1"/>
    </xf>
    <xf numFmtId="26" fontId="28" fillId="13" borderId="9" xfId="51" applyFont="1" applyFill="1" applyBorder="1" applyAlignment="1" applyProtection="1">
      <alignment horizontal="right"/>
      <protection hidden="1"/>
    </xf>
    <xf numFmtId="2" fontId="0" fillId="0" borderId="25" xfId="0" applyNumberFormat="1" applyBorder="1" applyProtection="1">
      <protection hidden="1"/>
    </xf>
    <xf numFmtId="26" fontId="0" fillId="13" borderId="0" xfId="0" applyFill="1" applyBorder="1" applyAlignment="1" applyProtection="1">
      <alignment horizontal="right"/>
      <protection hidden="1"/>
    </xf>
    <xf numFmtId="1" fontId="0" fillId="13" borderId="24" xfId="0" applyNumberFormat="1" applyFill="1" applyBorder="1" applyProtection="1">
      <protection hidden="1"/>
    </xf>
    <xf numFmtId="26" fontId="5" fillId="13" borderId="5" xfId="0" applyFont="1" applyFill="1" applyBorder="1" applyProtection="1">
      <protection hidden="1"/>
    </xf>
    <xf numFmtId="26" fontId="0" fillId="13" borderId="9" xfId="0" applyFill="1" applyBorder="1" applyAlignment="1" applyProtection="1">
      <alignment horizontal="right"/>
      <protection hidden="1"/>
    </xf>
    <xf numFmtId="2" fontId="0" fillId="13" borderId="25" xfId="0" applyNumberFormat="1" applyFill="1" applyBorder="1" applyProtection="1">
      <protection hidden="1"/>
    </xf>
    <xf numFmtId="26" fontId="5" fillId="13" borderId="11" xfId="0" applyFont="1" applyFill="1" applyBorder="1" applyProtection="1">
      <protection hidden="1"/>
    </xf>
    <xf numFmtId="26" fontId="0" fillId="13" borderId="6" xfId="0" applyFill="1" applyBorder="1" applyAlignment="1" applyProtection="1">
      <alignment horizontal="right"/>
      <protection hidden="1"/>
    </xf>
    <xf numFmtId="2" fontId="0" fillId="13" borderId="23" xfId="0" applyNumberFormat="1" applyFill="1" applyBorder="1" applyProtection="1">
      <protection hidden="1"/>
    </xf>
    <xf numFmtId="26" fontId="0" fillId="12" borderId="25" xfId="0" applyFill="1" applyBorder="1" applyProtection="1">
      <protection locked="0"/>
    </xf>
    <xf numFmtId="2" fontId="0" fillId="13" borderId="0" xfId="0" applyNumberFormat="1" applyFill="1" applyBorder="1" applyProtection="1">
      <protection hidden="1"/>
    </xf>
    <xf numFmtId="1" fontId="0" fillId="13" borderId="0" xfId="0" applyNumberFormat="1" applyFill="1" applyBorder="1" applyProtection="1">
      <protection hidden="1"/>
    </xf>
    <xf numFmtId="26" fontId="29" fillId="13" borderId="0" xfId="0" applyFont="1" applyFill="1" applyProtection="1">
      <protection hidden="1"/>
    </xf>
    <xf numFmtId="26" fontId="5" fillId="13" borderId="0" xfId="0" applyFont="1" applyFill="1" applyBorder="1" applyProtection="1">
      <protection hidden="1"/>
    </xf>
    <xf numFmtId="182" fontId="0" fillId="13" borderId="0" xfId="0" applyNumberFormat="1" applyFill="1" applyBorder="1" applyProtection="1">
      <protection hidden="1"/>
    </xf>
    <xf numFmtId="26" fontId="14" fillId="13" borderId="6" xfId="0" applyFont="1" applyFill="1" applyBorder="1" applyAlignment="1" applyProtection="1">
      <alignment horizontal="right"/>
      <protection hidden="1"/>
    </xf>
    <xf numFmtId="26" fontId="0" fillId="12" borderId="23" xfId="0" applyFont="1" applyFill="1" applyBorder="1" applyAlignment="1" applyProtection="1">
      <alignment vertical="top"/>
      <protection locked="0"/>
    </xf>
    <xf numFmtId="26" fontId="0" fillId="0" borderId="24" xfId="0" applyFont="1" applyFill="1" applyBorder="1" applyAlignment="1" applyProtection="1">
      <alignment vertical="top"/>
      <protection hidden="1"/>
    </xf>
    <xf numFmtId="26" fontId="11" fillId="13" borderId="4" xfId="0" applyFont="1" applyFill="1" applyBorder="1" applyProtection="1">
      <protection hidden="1"/>
    </xf>
    <xf numFmtId="26" fontId="6" fillId="13" borderId="0" xfId="0" applyFont="1" applyFill="1" applyBorder="1" applyAlignment="1" applyProtection="1">
      <alignment horizontal="right"/>
      <protection hidden="1"/>
    </xf>
    <xf numFmtId="182" fontId="0" fillId="13" borderId="24" xfId="0" applyNumberFormat="1" applyFill="1" applyBorder="1" applyProtection="1">
      <protection hidden="1"/>
    </xf>
    <xf numFmtId="26" fontId="0" fillId="13" borderId="0" xfId="0" applyFill="1" applyBorder="1" applyAlignment="1" applyProtection="1">
      <alignment horizontal="center"/>
      <protection hidden="1"/>
    </xf>
    <xf numFmtId="26" fontId="0" fillId="13" borderId="24" xfId="0" applyFill="1" applyBorder="1" applyAlignment="1" applyProtection="1">
      <alignment horizontal="center"/>
      <protection hidden="1"/>
    </xf>
    <xf numFmtId="26" fontId="0" fillId="13" borderId="5" xfId="0" applyFill="1" applyBorder="1" applyAlignment="1" applyProtection="1">
      <alignment horizontal="center"/>
      <protection hidden="1"/>
    </xf>
    <xf numFmtId="182" fontId="0" fillId="13" borderId="1" xfId="0" applyNumberFormat="1" applyFill="1" applyBorder="1" applyProtection="1">
      <protection hidden="1"/>
    </xf>
    <xf numFmtId="26" fontId="5" fillId="13" borderId="26" xfId="0" applyFont="1" applyFill="1" applyBorder="1" applyAlignment="1" applyProtection="1">
      <alignment horizontal="left"/>
      <protection hidden="1"/>
    </xf>
    <xf numFmtId="26" fontId="0" fillId="12" borderId="26" xfId="0" applyFill="1" applyBorder="1" applyProtection="1">
      <protection locked="0"/>
    </xf>
    <xf numFmtId="2" fontId="0" fillId="13" borderId="1" xfId="0" applyNumberFormat="1" applyFill="1" applyBorder="1" applyProtection="1">
      <protection hidden="1"/>
    </xf>
    <xf numFmtId="1" fontId="0" fillId="13" borderId="10" xfId="0" applyNumberFormat="1" applyFill="1" applyBorder="1" applyProtection="1">
      <protection hidden="1"/>
    </xf>
    <xf numFmtId="26" fontId="0" fillId="13" borderId="25" xfId="0" applyFill="1" applyBorder="1" applyAlignment="1" applyProtection="1">
      <alignment horizontal="left"/>
      <protection hidden="1"/>
    </xf>
    <xf numFmtId="1" fontId="0" fillId="13" borderId="0" xfId="0" applyNumberFormat="1" applyFill="1" applyProtection="1">
      <protection hidden="1"/>
    </xf>
    <xf numFmtId="26" fontId="0" fillId="0" borderId="0" xfId="0" applyFill="1" applyProtection="1">
      <protection hidden="1"/>
    </xf>
    <xf numFmtId="26" fontId="30" fillId="19" borderId="0" xfId="0" applyFont="1" applyFill="1" applyProtection="1">
      <protection hidden="1"/>
    </xf>
    <xf numFmtId="26" fontId="0" fillId="19" borderId="0" xfId="0" applyFill="1" applyProtection="1">
      <protection hidden="1"/>
    </xf>
    <xf numFmtId="26" fontId="0" fillId="19" borderId="0" xfId="0" applyFill="1" applyAlignment="1" applyProtection="1">
      <alignment horizontal="right"/>
      <protection hidden="1"/>
    </xf>
    <xf numFmtId="26" fontId="0" fillId="15" borderId="0" xfId="0" applyFill="1" applyProtection="1">
      <protection hidden="1"/>
    </xf>
    <xf numFmtId="26" fontId="0" fillId="15" borderId="0" xfId="0" applyFill="1" applyBorder="1" applyProtection="1">
      <protection hidden="1"/>
    </xf>
    <xf numFmtId="26" fontId="31" fillId="13" borderId="0" xfId="0" applyFont="1" applyFill="1" applyBorder="1" applyAlignment="1" applyProtection="1">
      <alignment horizontal="left"/>
      <protection hidden="1"/>
    </xf>
    <xf numFmtId="26" fontId="3" fillId="13" borderId="6" xfId="51" applyFont="1" applyFill="1" applyBorder="1" applyAlignment="1" applyProtection="1">
      <alignment horizontal="right"/>
      <protection hidden="1"/>
    </xf>
    <xf numFmtId="26" fontId="3" fillId="13" borderId="8" xfId="51" applyFont="1" applyFill="1" applyBorder="1" applyProtection="1">
      <protection hidden="1"/>
    </xf>
    <xf numFmtId="26" fontId="0" fillId="0" borderId="0" xfId="0" applyBorder="1" applyProtection="1">
      <protection hidden="1"/>
    </xf>
    <xf numFmtId="26" fontId="3" fillId="13" borderId="0" xfId="51" applyFont="1" applyFill="1" applyBorder="1" applyAlignment="1" applyProtection="1">
      <alignment horizontal="right"/>
      <protection hidden="1"/>
    </xf>
    <xf numFmtId="26" fontId="3" fillId="13" borderId="5" xfId="51" applyFont="1" applyFill="1" applyBorder="1" applyProtection="1">
      <protection hidden="1"/>
    </xf>
    <xf numFmtId="26" fontId="3" fillId="13" borderId="9" xfId="51" applyFont="1" applyFill="1" applyBorder="1" applyAlignment="1" applyProtection="1">
      <alignment horizontal="right"/>
      <protection hidden="1"/>
    </xf>
    <xf numFmtId="26" fontId="3" fillId="13" borderId="11" xfId="51" applyFont="1" applyFill="1" applyBorder="1" applyProtection="1">
      <protection hidden="1"/>
    </xf>
    <xf numFmtId="26" fontId="31" fillId="13" borderId="0" xfId="0" applyFont="1" applyFill="1" applyAlignment="1" applyProtection="1">
      <alignment horizontal="left"/>
      <protection hidden="1"/>
    </xf>
    <xf numFmtId="26" fontId="0" fillId="0" borderId="23" xfId="0" applyBorder="1" applyProtection="1">
      <protection hidden="1"/>
    </xf>
    <xf numFmtId="26" fontId="0" fillId="18" borderId="0" xfId="0" applyFill="1" applyProtection="1">
      <protection hidden="1"/>
    </xf>
    <xf numFmtId="26" fontId="0" fillId="18" borderId="0" xfId="0" applyFill="1" applyAlignment="1" applyProtection="1">
      <alignment horizontal="right"/>
      <protection hidden="1"/>
    </xf>
    <xf numFmtId="26" fontId="26" fillId="18" borderId="0" xfId="0" applyFont="1" applyFill="1" applyBorder="1" applyProtection="1" quotePrefix="1">
      <protection hidden="1"/>
    </xf>
  </cellXfs>
  <cellStyles count="56">
    <cellStyle name="Normalny" xfId="0" builtinId="0"/>
    <cellStyle name="Dziesiętny" xfId="1" builtinId="3"/>
    <cellStyle name="Walutowy" xfId="2" builtinId="4"/>
    <cellStyle name="Procentowy" xfId="3" builtinId="5"/>
    <cellStyle name="Przecinek [0]" xfId="4" builtinId="6"/>
    <cellStyle name="Waluta [0]" xfId="5" builtinId="7"/>
    <cellStyle name="Hiperłącze" xfId="6" builtinId="8"/>
    <cellStyle name="Użyte hiperłącze" xfId="7" builtinId="9"/>
    <cellStyle name="Uwaga" xfId="8" builtinId="10"/>
    <cellStyle name="Tekst ostrzeżenia" xfId="9" builtinId="11"/>
    <cellStyle name="Tytuł" xfId="10" builtinId="15"/>
    <cellStyle name="Tekst objaśnienia" xfId="11" builtinId="53"/>
    <cellStyle name="Nagłówek 1" xfId="12" builtinId="16"/>
    <cellStyle name="Nagłówek 2" xfId="13" builtinId="17"/>
    <cellStyle name="Nagłówek 3" xfId="14" builtinId="18"/>
    <cellStyle name="Nagłówek 4" xfId="15" builtinId="19"/>
    <cellStyle name="Dane wejściowe" xfId="16" builtinId="20"/>
    <cellStyle name="Dane wyjściowe" xfId="17" builtinId="21"/>
    <cellStyle name="Obliczenia" xfId="18" builtinId="22"/>
    <cellStyle name="Komórka zaznaczona" xfId="19" builtinId="23"/>
    <cellStyle name="Komórka połączona" xfId="20" builtinId="24"/>
    <cellStyle name="Suma" xfId="21" builtinId="25"/>
    <cellStyle name="Dobre" xfId="22" builtinId="26"/>
    <cellStyle name="Złe" xfId="23" builtinId="27"/>
    <cellStyle name="Neutralne" xfId="24" builtinId="28"/>
    <cellStyle name="Akcent 1" xfId="25" builtinId="29"/>
    <cellStyle name="20% - Akcent 1" xfId="26" builtinId="30"/>
    <cellStyle name="40% - Akcent 1" xfId="27" builtinId="31"/>
    <cellStyle name="60% - Akcent 1" xfId="28" builtinId="32"/>
    <cellStyle name="Akcent 2" xfId="29" builtinId="33"/>
    <cellStyle name="20% - Akcent 2" xfId="30" builtinId="34"/>
    <cellStyle name="40% - Akcent 2" xfId="31" builtinId="35"/>
    <cellStyle name="60% - Akcent 2" xfId="32" builtinId="36"/>
    <cellStyle name="Akcent 3" xfId="33" builtinId="37"/>
    <cellStyle name="20% - Akcent 3" xfId="34" builtinId="38"/>
    <cellStyle name="40% - Akcent 3" xfId="35" builtinId="39"/>
    <cellStyle name="60% - Akcent 3" xfId="36" builtinId="40"/>
    <cellStyle name="Akcent 4" xfId="37" builtinId="41"/>
    <cellStyle name="20% - Akcent 4" xfId="38" builtinId="42"/>
    <cellStyle name="40% - Akcent 4" xfId="39" builtinId="43"/>
    <cellStyle name="60% - Akcent 4" xfId="40" builtinId="44"/>
    <cellStyle name="Akcent 5" xfId="41" builtinId="45"/>
    <cellStyle name="20% - Akcent 5" xfId="42" builtinId="46"/>
    <cellStyle name="40% - Akcent 5" xfId="43" builtinId="47"/>
    <cellStyle name="60% - Akcent 5" xfId="44" builtinId="48"/>
    <cellStyle name="Akcent 6" xfId="45" builtinId="49"/>
    <cellStyle name="20% - Akcent 6" xfId="46" builtinId="50"/>
    <cellStyle name="40% - Akcent 6" xfId="47" builtinId="51"/>
    <cellStyle name="60% - Akcent 6" xfId="48" builtinId="52"/>
    <cellStyle name="Comma 2" xfId="49"/>
    <cellStyle name="Comma 3" xfId="50"/>
    <cellStyle name="Normal 2" xfId="51"/>
    <cellStyle name="Normal 3" xfId="52"/>
    <cellStyle name="Normal 4" xfId="53"/>
    <cellStyle name="Normal 4 2" xfId="54"/>
    <cellStyle name="Normal 4 3" xfId="55"/>
  </cellStyles>
  <dxfs count="3">
    <dxf>
      <fill>
        <patternFill patternType="solid">
          <bgColor rgb="FFFF0000"/>
        </patternFill>
      </fill>
    </dxf>
    <dxf>
      <font>
        <color rgb="FFFF0000"/>
      </font>
      <fill>
        <patternFill patternType="none"/>
      </fill>
    </dxf>
    <dxf>
      <fill>
        <patternFill patternType="solid">
          <bgColor rgb="FFFF0000"/>
        </patternFill>
      </fill>
    </dxf>
  </dxfs>
  <tableStyles count="0" defaultTableStyle="TableStyleMedium2" defaultPivotStyle="PivotStyleLight16"/>
  <colors>
    <mruColors>
      <color rgb="00EAEAEA"/>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customXml" Target="../customXml/item1.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pl-PL" sz="1600" b="1" i="0" u="none" strike="noStrike" kern="1200" baseline="0">
                <a:solidFill>
                  <a:schemeClr val="tx1"/>
                </a:solidFill>
                <a:latin typeface="+mn-lt"/>
                <a:ea typeface="+mn-ea"/>
                <a:cs typeface="+mn-cs"/>
              </a:defRPr>
            </a:pPr>
            <a:r>
              <a:rPr lang="en-US" sz="1600" baseline="0"/>
              <a:t>Bode Plot</a:t>
            </a:r>
            <a:endParaRPr lang="en-US" sz="1600" baseline="0"/>
          </a:p>
        </c:rich>
      </c:tx>
      <c:layout>
        <c:manualLayout>
          <c:xMode val="edge"/>
          <c:yMode val="edge"/>
          <c:x val="0.0943541571749534"/>
          <c:y val="0.00399160104986877"/>
        </c:manualLayout>
      </c:layout>
      <c:overlay val="0"/>
    </c:title>
    <c:autoTitleDeleted val="0"/>
    <c:plotArea>
      <c:layout>
        <c:manualLayout>
          <c:layoutTarget val="inner"/>
          <c:xMode val="edge"/>
          <c:yMode val="edge"/>
          <c:x val="0.0905940527204998"/>
          <c:y val="0.0891581080136939"/>
          <c:w val="0.809658767428918"/>
          <c:h val="0.76159168715027"/>
        </c:manualLayout>
      </c:layout>
      <c:scatterChart>
        <c:scatterStyle val="smooth"/>
        <c:varyColors val="0"/>
        <c:ser>
          <c:idx val="0"/>
          <c:order val="0"/>
          <c:tx>
            <c:strRef>
              <c:f>"Gain (dB)"</c:f>
              <c:strCache>
                <c:ptCount val="1"/>
                <c:pt idx="0">
                  <c:v>Gain (dB)</c:v>
                </c:pt>
              </c:strCache>
            </c:strRef>
          </c:tx>
          <c:spPr>
            <a:ln w="28575" cap="rnd" cmpd="sng" algn="ctr">
              <a:solidFill>
                <a:srgbClr val="FF0000"/>
              </a:solidFill>
              <a:prstDash val="solid"/>
              <a:round/>
            </a:ln>
          </c:spPr>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Loop_Modeling!$BL$19:$BL$560</c:f>
              <c:numCache>
                <c:formatCode>General</c:formatCode>
                <c:ptCount val="542"/>
                <c:pt idx="0">
                  <c:v>65.1367453381581</c:v>
                </c:pt>
                <c:pt idx="1">
                  <c:v>64.9355046316535</c:v>
                </c:pt>
                <c:pt idx="2">
                  <c:v>64.7342059887021</c:v>
                </c:pt>
                <c:pt idx="3">
                  <c:v>64.5328467301449</c:v>
                </c:pt>
                <c:pt idx="4">
                  <c:v>64.3314240554434</c:v>
                </c:pt>
                <c:pt idx="5">
                  <c:v>64.1299350374217</c:v>
                </c:pt>
                <c:pt idx="6">
                  <c:v>63.9283766168029</c:v>
                </c:pt>
                <c:pt idx="7">
                  <c:v>63.7267455965363</c:v>
                </c:pt>
                <c:pt idx="8">
                  <c:v>63.5250386359078</c:v>
                </c:pt>
                <c:pt idx="9">
                  <c:v>63.3232522444295</c:v>
                </c:pt>
                <c:pt idx="10">
                  <c:v>63.1213827755029</c:v>
                </c:pt>
                <c:pt idx="11">
                  <c:v>62.9194264198493</c:v>
                </c:pt>
                <c:pt idx="12">
                  <c:v>62.7173791987052</c:v>
                </c:pt>
                <c:pt idx="13">
                  <c:v>62.5152369567749</c:v>
                </c:pt>
                <c:pt idx="14">
                  <c:v>62.3129953549392</c:v>
                </c:pt>
                <c:pt idx="15">
                  <c:v>62.1106498627138</c:v>
                </c:pt>
                <c:pt idx="16">
                  <c:v>61.9081957504568</c:v>
                </c:pt>
                <c:pt idx="17">
                  <c:v>61.7056280813194</c:v>
                </c:pt>
                <c:pt idx="18">
                  <c:v>61.5029417029411</c:v>
                </c:pt>
                <c:pt idx="19">
                  <c:v>61.3001312388853</c:v>
                </c:pt>
                <c:pt idx="20">
                  <c:v>61.0971910798167</c:v>
                </c:pt>
                <c:pt idx="21">
                  <c:v>60.8941153744207</c:v>
                </c:pt>
                <c:pt idx="22">
                  <c:v>60.6908980200645</c:v>
                </c:pt>
                <c:pt idx="23">
                  <c:v>60.4875326532056</c:v>
                </c:pt>
                <c:pt idx="24">
                  <c:v>60.2840126395506</c:v>
                </c:pt>
                <c:pt idx="25">
                  <c:v>60.0803310639679</c:v>
                </c:pt>
                <c:pt idx="26">
                  <c:v>59.8764807201651</c:v>
                </c:pt>
                <c:pt idx="27">
                  <c:v>59.6724541001376</c:v>
                </c:pt>
                <c:pt idx="28">
                  <c:v>59.4682433833996</c:v>
                </c:pt>
                <c:pt idx="29">
                  <c:v>59.2638404260129</c:v>
                </c:pt>
                <c:pt idx="30">
                  <c:v>59.059236749426</c:v>
                </c:pt>
                <c:pt idx="31">
                  <c:v>58.8544235291441</c:v>
                </c:pt>
                <c:pt idx="32">
                  <c:v>58.6493915832504</c:v>
                </c:pt>
                <c:pt idx="33">
                  <c:v>58.4441313608025</c:v>
                </c:pt>
                <c:pt idx="34">
                  <c:v>58.2386329301322</c:v>
                </c:pt>
                <c:pt idx="35">
                  <c:v>58.0328859670798</c:v>
                </c:pt>
                <c:pt idx="36">
                  <c:v>57.8268797431969</c:v>
                </c:pt>
                <c:pt idx="37">
                  <c:v>57.6206031139597</c:v>
                </c:pt>
                <c:pt idx="38">
                  <c:v>57.4140445070329</c:v>
                </c:pt>
                <c:pt idx="39">
                  <c:v>57.2071919106373</c:v>
                </c:pt>
                <c:pt idx="40">
                  <c:v>57.0000328620705</c:v>
                </c:pt>
                <c:pt idx="41">
                  <c:v>56.7925544364439</c:v>
                </c:pt>
                <c:pt idx="42">
                  <c:v>56.5847432356984</c:v>
                </c:pt>
                <c:pt idx="43">
                  <c:v>56.3765853779718</c:v>
                </c:pt>
                <c:pt idx="44">
                  <c:v>56.1680664873942</c:v>
                </c:pt>
                <c:pt idx="45">
                  <c:v>55.9591716843971</c:v>
                </c:pt>
                <c:pt idx="46">
                  <c:v>55.7498855766273</c:v>
                </c:pt>
                <c:pt idx="47">
                  <c:v>55.5401922505634</c:v>
                </c:pt>
                <c:pt idx="48">
                  <c:v>55.3300752639431</c:v>
                </c:pt>
                <c:pt idx="49">
                  <c:v>55.1195176391142</c:v>
                </c:pt>
                <c:pt idx="50">
                  <c:v>54.9085018574317</c:v>
                </c:pt>
                <c:pt idx="51">
                  <c:v>54.6970098548323</c:v>
                </c:pt>
                <c:pt idx="52">
                  <c:v>54.4850230187223</c:v>
                </c:pt>
                <c:pt idx="53">
                  <c:v>54.2725221863293</c:v>
                </c:pt>
                <c:pt idx="54">
                  <c:v>54.0594876446684</c:v>
                </c:pt>
                <c:pt idx="55">
                  <c:v>53.8458991322888</c:v>
                </c:pt>
                <c:pt idx="56">
                  <c:v>53.6317358429697</c:v>
                </c:pt>
                <c:pt idx="57">
                  <c:v>53.4169764315428</c:v>
                </c:pt>
                <c:pt idx="58">
                  <c:v>53.2015990220276</c:v>
                </c:pt>
                <c:pt idx="59">
                  <c:v>52.9855812182677</c:v>
                </c:pt>
                <c:pt idx="60">
                  <c:v>52.7689001172665</c:v>
                </c:pt>
                <c:pt idx="61">
                  <c:v>52.5515323254206</c:v>
                </c:pt>
                <c:pt idx="62">
                  <c:v>52.3334539778551</c:v>
                </c:pt>
                <c:pt idx="63">
                  <c:v>52.1146407610663</c:v>
                </c:pt>
                <c:pt idx="64">
                  <c:v>51.8950679390766</c:v>
                </c:pt>
                <c:pt idx="65">
                  <c:v>51.674710383306</c:v>
                </c:pt>
                <c:pt idx="66">
                  <c:v>51.4535426063611</c:v>
                </c:pt>
                <c:pt idx="67">
                  <c:v>51.2315387999344</c:v>
                </c:pt>
                <c:pt idx="68">
                  <c:v>51.0086728770034</c:v>
                </c:pt>
                <c:pt idx="69">
                  <c:v>50.7849185185021</c:v>
                </c:pt>
                <c:pt idx="70">
                  <c:v>50.5602492246289</c:v>
                </c:pt>
                <c:pt idx="71">
                  <c:v>50.3346383709347</c:v>
                </c:pt>
                <c:pt idx="72">
                  <c:v>50.1080592693166</c:v>
                </c:pt>
                <c:pt idx="73">
                  <c:v>49.8804852340182</c:v>
                </c:pt>
                <c:pt idx="74">
                  <c:v>49.6518896527107</c:v>
                </c:pt>
                <c:pt idx="75">
                  <c:v>49.4222460626977</c:v>
                </c:pt>
                <c:pt idx="76">
                  <c:v>49.191528232253</c:v>
                </c:pt>
                <c:pt idx="77">
                  <c:v>48.9597102470605</c:v>
                </c:pt>
                <c:pt idx="78">
                  <c:v>48.7267666016854</c:v>
                </c:pt>
                <c:pt idx="79">
                  <c:v>48.4926722959592</c:v>
                </c:pt>
                <c:pt idx="80">
                  <c:v>48.2574029361121</c:v>
                </c:pt>
                <c:pt idx="81">
                  <c:v>48.0209348404342</c:v>
                </c:pt>
                <c:pt idx="82">
                  <c:v>47.7832451491929</c:v>
                </c:pt>
                <c:pt idx="83">
                  <c:v>47.5443119384766</c:v>
                </c:pt>
                <c:pt idx="84">
                  <c:v>47.3041143375752</c:v>
                </c:pt>
                <c:pt idx="85">
                  <c:v>47.0626326494483</c:v>
                </c:pt>
                <c:pt idx="86">
                  <c:v>46.8198484737729</c:v>
                </c:pt>
                <c:pt idx="87">
                  <c:v>46.5757448319986</c:v>
                </c:pt>
                <c:pt idx="88">
                  <c:v>46.3303062937841</c:v>
                </c:pt>
                <c:pt idx="89">
                  <c:v>46.0835191041266</c:v>
                </c:pt>
                <c:pt idx="90">
                  <c:v>45.8353713104453</c:v>
                </c:pt>
                <c:pt idx="91">
                  <c:v>45.5858528888278</c:v>
                </c:pt>
                <c:pt idx="92">
                  <c:v>45.334955868604</c:v>
                </c:pt>
                <c:pt idx="93">
                  <c:v>45.0826744543705</c:v>
                </c:pt>
                <c:pt idx="94">
                  <c:v>44.8290051445577</c:v>
                </c:pt>
                <c:pt idx="95">
                  <c:v>44.5739468456066</c:v>
                </c:pt>
                <c:pt idx="96">
                  <c:v>44.3175009808024</c:v>
                </c:pt>
                <c:pt idx="97">
                  <c:v>44.0596715928092</c:v>
                </c:pt>
                <c:pt idx="98">
                  <c:v>43.8004654389472</c:v>
                </c:pt>
                <c:pt idx="99">
                  <c:v>43.5398920782709</c:v>
                </c:pt>
                <c:pt idx="100">
                  <c:v>43.2779639495256</c:v>
                </c:pt>
                <c:pt idx="101">
                  <c:v>43.0146964390956</c:v>
                </c:pt>
                <c:pt idx="102">
                  <c:v>42.7501079381027</c:v>
                </c:pt>
                <c:pt idx="103">
                  <c:v>42.4842198878629</c:v>
                </c:pt>
                <c:pt idx="104">
                  <c:v>42.2170568129818</c:v>
                </c:pt>
                <c:pt idx="105">
                  <c:v>41.9486463414363</c:v>
                </c:pt>
                <c:pt idx="106">
                  <c:v>41.6790192110783</c:v>
                </c:pt>
                <c:pt idx="107">
                  <c:v>41.4082092620844</c:v>
                </c:pt>
                <c:pt idx="108">
                  <c:v>41.1362534149715</c:v>
                </c:pt>
                <c:pt idx="109">
                  <c:v>40.8631916339095</c:v>
                </c:pt>
                <c:pt idx="110">
                  <c:v>40.5890668751596</c:v>
                </c:pt>
                <c:pt idx="111">
                  <c:v>40.3139250205861</c:v>
                </c:pt>
                <c:pt idx="112">
                  <c:v>40.0378147963018</c:v>
                </c:pt>
                <c:pt idx="113">
                  <c:v>39.7607876766165</c:v>
                </c:pt>
                <c:pt idx="114">
                  <c:v>39.4828977735797</c:v>
                </c:pt>
                <c:pt idx="115">
                  <c:v>39.2042017125109</c:v>
                </c:pt>
                <c:pt idx="116">
                  <c:v>38.92475849403</c:v>
                </c:pt>
                <c:pt idx="117">
                  <c:v>38.6446293431955</c:v>
                </c:pt>
                <c:pt idx="118">
                  <c:v>38.3638775464661</c:v>
                </c:pt>
                <c:pt idx="119">
                  <c:v>38.082568277289</c:v>
                </c:pt>
                <c:pt idx="120">
                  <c:v>37.8007684112107</c:v>
                </c:pt>
                <c:pt idx="121">
                  <c:v>37.518546331481</c:v>
                </c:pt>
                <c:pt idx="122">
                  <c:v>37.2359717261978</c:v>
                </c:pt>
                <c:pt idx="123">
                  <c:v>36.9531153781022</c:v>
                </c:pt>
                <c:pt idx="124">
                  <c:v>36.6700489481851</c:v>
                </c:pt>
                <c:pt idx="125">
                  <c:v>36.3868447543191</c:v>
                </c:pt>
                <c:pt idx="126">
                  <c:v>36.1035755461622</c:v>
                </c:pt>
                <c:pt idx="127">
                  <c:v>35.8203142776068</c:v>
                </c:pt>
                <c:pt idx="128">
                  <c:v>35.537133878068</c:v>
                </c:pt>
                <c:pt idx="129">
                  <c:v>35.2541070239128</c:v>
                </c:pt>
                <c:pt idx="130">
                  <c:v>34.9713059113301</c:v>
                </c:pt>
                <c:pt idx="131">
                  <c:v>34.6888020319317</c:v>
                </c:pt>
                <c:pt idx="132">
                  <c:v>34.4066659523536</c:v>
                </c:pt>
                <c:pt idx="133">
                  <c:v>34.1249670990981</c:v>
                </c:pt>
                <c:pt idx="134">
                  <c:v>33.8437735498181</c:v>
                </c:pt>
                <c:pt idx="135">
                  <c:v>33.5631518321964</c:v>
                </c:pt>
                <c:pt idx="136">
                  <c:v>33.2831667315164</c:v>
                </c:pt>
                <c:pt idx="137">
                  <c:v>33.0038811079548</c:v>
                </c:pt>
                <c:pt idx="138">
                  <c:v>32.7253557245535</c:v>
                </c:pt>
                <c:pt idx="139">
                  <c:v>32.447649086745</c:v>
                </c:pt>
                <c:pt idx="140">
                  <c:v>32.1708172942184</c:v>
                </c:pt>
                <c:pt idx="141">
                  <c:v>31.8949139058165</c:v>
                </c:pt>
                <c:pt idx="142">
                  <c:v>31.6199898180546</c:v>
                </c:pt>
                <c:pt idx="143">
                  <c:v>31.3460931577448</c:v>
                </c:pt>
                <c:pt idx="144">
                  <c:v>31.0732691891</c:v>
                </c:pt>
                <c:pt idx="145">
                  <c:v>30.8015602355813</c:v>
                </c:pt>
                <c:pt idx="146">
                  <c:v>30.5310056166352</c:v>
                </c:pt>
                <c:pt idx="147">
                  <c:v>30.2616415993569</c:v>
                </c:pt>
                <c:pt idx="148">
                  <c:v>29.9935013649994</c:v>
                </c:pt>
                <c:pt idx="149">
                  <c:v>29.7266149901398</c:v>
                </c:pt>
                <c:pt idx="150">
                  <c:v>29.4610094422054</c:v>
                </c:pt>
                <c:pt idx="151">
                  <c:v>29.1967085889606</c:v>
                </c:pt>
                <c:pt idx="152">
                  <c:v>28.9337332214587</c:v>
                </c:pt>
                <c:pt idx="153">
                  <c:v>28.672101089874</c:v>
                </c:pt>
                <c:pt idx="154">
                  <c:v>28.4118269515478</c:v>
                </c:pt>
                <c:pt idx="155">
                  <c:v>28.1529226305105</c:v>
                </c:pt>
                <c:pt idx="156">
                  <c:v>27.8953970876777</c:v>
                </c:pt>
                <c:pt idx="157">
                  <c:v>27.6392565008681</c:v>
                </c:pt>
                <c:pt idx="158">
                  <c:v>27.3845043537474</c:v>
                </c:pt>
                <c:pt idx="159">
                  <c:v>27.131141532771</c:v>
                </c:pt>
                <c:pt idx="160">
                  <c:v>26.8791664311787</c:v>
                </c:pt>
                <c:pt idx="161">
                  <c:v>26.6285750590838</c:v>
                </c:pt>
                <c:pt idx="162">
                  <c:v>26.3793611586994</c:v>
                </c:pt>
                <c:pt idx="163">
                  <c:v>26.1315163237535</c:v>
                </c:pt>
                <c:pt idx="164">
                  <c:v>25.885030122164</c:v>
                </c:pt>
                <c:pt idx="165">
                  <c:v>25.6398902210722</c:v>
                </c:pt>
                <c:pt idx="166">
                  <c:v>25.3960825133655</c:v>
                </c:pt>
                <c:pt idx="167">
                  <c:v>25.1535912448635</c:v>
                </c:pt>
                <c:pt idx="168">
                  <c:v>24.9123991413882</c:v>
                </c:pt>
                <c:pt idx="169">
                  <c:v>24.6724875349866</c:v>
                </c:pt>
                <c:pt idx="170">
                  <c:v>24.433836488635</c:v>
                </c:pt>
                <c:pt idx="171">
                  <c:v>24.196424918806</c:v>
                </c:pt>
                <c:pt idx="172">
                  <c:v>23.9602307153434</c:v>
                </c:pt>
                <c:pt idx="173">
                  <c:v>23.7252308581457</c:v>
                </c:pt>
                <c:pt idx="174">
                  <c:v>23.4914015302261</c:v>
                </c:pt>
                <c:pt idx="175">
                  <c:v>23.258718226768</c:v>
                </c:pt>
                <c:pt idx="176">
                  <c:v>23.0271558598623</c:v>
                </c:pt>
                <c:pt idx="177">
                  <c:v>22.7966888586626</c:v>
                </c:pt>
                <c:pt idx="178">
                  <c:v>22.5672912647525</c:v>
                </c:pt>
                <c:pt idx="179">
                  <c:v>22.338936822569</c:v>
                </c:pt>
                <c:pt idx="180">
                  <c:v>22.1115990647743</c:v>
                </c:pt>
                <c:pt idx="181">
                  <c:v>21.8852513925139</c:v>
                </c:pt>
                <c:pt idx="182">
                  <c:v>21.6598671505387</c:v>
                </c:pt>
                <c:pt idx="183">
                  <c:v>21.4354196972077</c:v>
                </c:pt>
                <c:pt idx="184">
                  <c:v>21.2118824694206</c:v>
                </c:pt>
                <c:pt idx="185">
                  <c:v>20.9892290425607</c:v>
                </c:pt>
                <c:pt idx="186">
                  <c:v>20.7674331855529</c:v>
                </c:pt>
                <c:pt idx="187">
                  <c:v>20.5464689111678</c:v>
                </c:pt>
                <c:pt idx="188">
                  <c:v>20.3263105217174</c:v>
                </c:pt>
                <c:pt idx="189">
                  <c:v>20.1069326503096</c:v>
                </c:pt>
                <c:pt idx="190">
                  <c:v>19.8883102978368</c:v>
                </c:pt>
                <c:pt idx="191">
                  <c:v>19.670418865887</c:v>
                </c:pt>
                <c:pt idx="192">
                  <c:v>19.4532341857733</c:v>
                </c:pt>
                <c:pt idx="193">
                  <c:v>19.23673254388</c:v>
                </c:pt>
                <c:pt idx="194">
                  <c:v>19.0208907035315</c:v>
                </c:pt>
                <c:pt idx="195">
                  <c:v>18.8056859235853</c:v>
                </c:pt>
                <c:pt idx="196">
                  <c:v>18.5910959739553</c:v>
                </c:pt>
                <c:pt idx="197">
                  <c:v>18.3770991482648</c:v>
                </c:pt>
                <c:pt idx="198">
                  <c:v>18.1636742738271</c:v>
                </c:pt>
                <c:pt idx="199">
                  <c:v>17.9508007191488</c:v>
                </c:pt>
                <c:pt idx="200">
                  <c:v>17.7384583991391</c:v>
                </c:pt>
                <c:pt idx="201">
                  <c:v>17.5266277782101</c:v>
                </c:pt>
                <c:pt idx="202">
                  <c:v>17.3152898714392</c:v>
                </c:pt>
                <c:pt idx="203">
                  <c:v>17.1044262439601</c:v>
                </c:pt>
                <c:pt idx="204">
                  <c:v>16.8940190087409</c:v>
                </c:pt>
                <c:pt idx="205">
                  <c:v>16.6840508228989</c:v>
                </c:pt>
                <c:pt idx="206">
                  <c:v>16.4745048826941</c:v>
                </c:pt>
                <c:pt idx="207">
                  <c:v>16.2653649173332</c:v>
                </c:pt>
                <c:pt idx="208">
                  <c:v>16.0566151817081</c:v>
                </c:pt>
                <c:pt idx="209">
                  <c:v>15.8482404481879</c:v>
                </c:pt>
                <c:pt idx="210">
                  <c:v>15.6402259975676</c:v>
                </c:pt>
                <c:pt idx="211">
                  <c:v>15.4325576092764</c:v>
                </c:pt>
                <c:pt idx="212">
                  <c:v>15.2252215509354</c:v>
                </c:pt>
                <c:pt idx="213">
                  <c:v>15.018204567348</c:v>
                </c:pt>
                <c:pt idx="214">
                  <c:v>14.8114938690015</c:v>
                </c:pt>
                <c:pt idx="215">
                  <c:v>14.6050771201452</c:v>
                </c:pt>
                <c:pt idx="216">
                  <c:v>14.3989424265108</c:v>
                </c:pt>
                <c:pt idx="217">
                  <c:v>14.1930783227269</c:v>
                </c:pt>
                <c:pt idx="218">
                  <c:v>13.9874737594794</c:v>
                </c:pt>
                <c:pt idx="219">
                  <c:v>13.7821180904583</c:v>
                </c:pt>
                <c:pt idx="220">
                  <c:v>13.5770010591304</c:v>
                </c:pt>
                <c:pt idx="221">
                  <c:v>13.3721127853648</c:v>
                </c:pt>
                <c:pt idx="222">
                  <c:v>13.1674437519442</c:v>
                </c:pt>
                <c:pt idx="223">
                  <c:v>12.9629847909757</c:v>
                </c:pt>
                <c:pt idx="224">
                  <c:v>12.7587270702234</c:v>
                </c:pt>
                <c:pt idx="225">
                  <c:v>12.5546620793704</c:v>
                </c:pt>
                <c:pt idx="226">
                  <c:v>12.3507816162217</c:v>
                </c:pt>
                <c:pt idx="227">
                  <c:v>12.1470777728479</c:v>
                </c:pt>
                <c:pt idx="228">
                  <c:v>11.9435429216711</c:v>
                </c:pt>
                <c:pt idx="229">
                  <c:v>11.7401697014907</c:v>
                </c:pt>
                <c:pt idx="230">
                  <c:v>11.5369510034383</c:v>
                </c:pt>
                <c:pt idx="231">
                  <c:v>11.3338799568554</c:v>
                </c:pt>
                <c:pt idx="232">
                  <c:v>11.1309499150764</c:v>
                </c:pt>
                <c:pt idx="233">
                  <c:v>10.9281544411042</c:v>
                </c:pt>
                <c:pt idx="234">
                  <c:v>10.7254872931582</c:v>
                </c:pt>
                <c:pt idx="235">
                  <c:v>10.5229424100739</c:v>
                </c:pt>
                <c:pt idx="236">
                  <c:v>10.3205138965299</c:v>
                </c:pt>
                <c:pt idx="237">
                  <c:v>10.1181960080807</c:v>
                </c:pt>
                <c:pt idx="238">
                  <c:v>9.91598313596466</c:v>
                </c:pt>
                <c:pt idx="239">
                  <c:v>9.71386979166191</c:v>
                </c:pt>
                <c:pt idx="240">
                  <c:v>9.51185059117287</c:v>
                </c:pt>
                <c:pt idx="241">
                  <c:v>9.30992023898781</c:v>
                </c:pt>
                <c:pt idx="242">
                  <c:v>9.10807351171723</c:v>
                </c:pt>
                <c:pt idx="243">
                  <c:v>8.90630524135463</c:v>
                </c:pt>
                <c:pt idx="244">
                  <c:v>8.70461029814092</c:v>
                </c:pt>
                <c:pt idx="245">
                  <c:v>8.50298357300498</c:v>
                </c:pt>
                <c:pt idx="246">
                  <c:v>8.30141995955161</c:v>
                </c:pt>
                <c:pt idx="247">
                  <c:v>8.09991433557448</c:v>
                </c:pt>
                <c:pt idx="248">
                  <c:v>7.89846154407334</c:v>
                </c:pt>
                <c:pt idx="249">
                  <c:v>7.69705637375615</c:v>
                </c:pt>
                <c:pt idx="250">
                  <c:v>7.49569353901725</c:v>
                </c:pt>
                <c:pt idx="251">
                  <c:v>7.29436765937944</c:v>
                </c:pt>
                <c:pt idx="252">
                  <c:v>7.0930732384045</c:v>
                </c:pt>
                <c:pt idx="253">
                  <c:v>6.89180464207409</c:v>
                </c:pt>
                <c:pt idx="254">
                  <c:v>6.69055607665894</c:v>
                </c:pt>
                <c:pt idx="255">
                  <c:v>6.48932156610204</c:v>
                </c:pt>
                <c:pt idx="256">
                  <c:v>6.28809492894875</c:v>
                </c:pt>
                <c:pt idx="257">
                  <c:v>6.08686975487465</c:v>
                </c:pt>
                <c:pt idx="258">
                  <c:v>5.88563938087382</c:v>
                </c:pt>
                <c:pt idx="259">
                  <c:v>5.68439686718144</c:v>
                </c:pt>
                <c:pt idx="260">
                  <c:v>5.4831349730276</c:v>
                </c:pt>
                <c:pt idx="261">
                  <c:v>5.28184613233081</c:v>
                </c:pt>
                <c:pt idx="262">
                  <c:v>5.08052242946408</c:v>
                </c:pt>
                <c:pt idx="263">
                  <c:v>4.87915557524193</c:v>
                </c:pt>
                <c:pt idx="264">
                  <c:v>4.67773688330198</c:v>
                </c:pt>
                <c:pt idx="265">
                  <c:v>4.47625724707574</c:v>
                </c:pt>
                <c:pt idx="266">
                  <c:v>4.27470711756583</c:v>
                </c:pt>
                <c:pt idx="267">
                  <c:v>4.07307648217236</c:v>
                </c:pt>
                <c:pt idx="268">
                  <c:v>3.87135484483435</c:v>
                </c:pt>
                <c:pt idx="269">
                  <c:v>3.66953120777544</c:v>
                </c:pt>
                <c:pt idx="270">
                  <c:v>3.46759405516989</c:v>
                </c:pt>
                <c:pt idx="271">
                  <c:v>3.26553133906208</c:v>
                </c:pt>
                <c:pt idx="272">
                  <c:v>3.06333046790004</c:v>
                </c:pt>
                <c:pt idx="273">
                  <c:v>2.86097829805773</c:v>
                </c:pt>
                <c:pt idx="274">
                  <c:v>2.65846112873964</c:v>
                </c:pt>
                <c:pt idx="275">
                  <c:v>2.45576470067453</c:v>
                </c:pt>
                <c:pt idx="276">
                  <c:v>2.25287419901179</c:v>
                </c:pt>
                <c:pt idx="277">
                  <c:v>2.04977426084103</c:v>
                </c:pt>
                <c:pt idx="278">
                  <c:v>1.84644898775152</c:v>
                </c:pt>
                <c:pt idx="279">
                  <c:v>1.64288196384051</c:v>
                </c:pt>
                <c:pt idx="280">
                  <c:v>1.43905627956798</c:v>
                </c:pt>
                <c:pt idx="281">
                  <c:v>1.23495456182585</c:v>
                </c:pt>
                <c:pt idx="282">
                  <c:v>1.03055901056588</c:v>
                </c:pt>
                <c:pt idx="283">
                  <c:v>0.825851442284845</c:v>
                </c:pt>
                <c:pt idx="284">
                  <c:v>0.620813340621028</c:v>
                </c:pt>
                <c:pt idx="285">
                  <c:v>0.415425914252562</c:v>
                </c:pt>
                <c:pt idx="286">
                  <c:v>0.209670162224655</c:v>
                </c:pt>
                <c:pt idx="287">
                  <c:v>0.00352694675080745</c:v>
                </c:pt>
                <c:pt idx="288">
                  <c:v>-0.203022926549851</c:v>
                </c:pt>
                <c:pt idx="289">
                  <c:v>-0.409998621115111</c:v>
                </c:pt>
                <c:pt idx="290">
                  <c:v>-0.617419174839045</c:v>
                </c:pt>
                <c:pt idx="291">
                  <c:v>-0.825303398753415</c:v>
                </c:pt>
                <c:pt idx="292">
                  <c:v>-1.03366976945334</c:v>
                </c:pt>
                <c:pt idx="293">
                  <c:v>-1.24253631584224</c:v>
                </c:pt>
                <c:pt idx="294">
                  <c:v>-1.45192050089292</c:v>
                </c:pt>
                <c:pt idx="295">
                  <c:v>-1.66183909923822</c:v>
                </c:pt>
                <c:pt idx="296">
                  <c:v>-1.8723080715185</c:v>
                </c:pt>
                <c:pt idx="297">
                  <c:v>-2.08334243652305</c:v>
                </c:pt>
                <c:pt idx="298">
                  <c:v>-2.29495614226332</c:v>
                </c:pt>
                <c:pt idx="299">
                  <c:v>-2.50716193720448</c:v>
                </c:pt>
                <c:pt idx="300">
                  <c:v>-2.71997124296213</c:v>
                </c:pt>
                <c:pt idx="301">
                  <c:v>-2.93339402982823</c:v>
                </c:pt>
                <c:pt idx="302">
                  <c:v>-3.14743869653583</c:v>
                </c:pt>
                <c:pt idx="303">
                  <c:v>-3.36211195569834</c:v>
                </c:pt>
                <c:pt idx="304">
                  <c:v>-3.57741872635627</c:v>
                </c:pt>
                <c:pt idx="305">
                  <c:v>-3.79336203504946</c:v>
                </c:pt>
                <c:pt idx="306">
                  <c:v>-4.00994292678544</c:v>
                </c:pt>
                <c:pt idx="307">
                  <c:v>-4.22716038721024</c:v>
                </c:pt>
                <c:pt idx="308">
                  <c:v>-4.44501127719634</c:v>
                </c:pt>
                <c:pt idx="309">
                  <c:v>-4.66349028094806</c:v>
                </c:pt>
                <c:pt idx="310">
                  <c:v>-4.88258986859202</c:v>
                </c:pt>
                <c:pt idx="311">
                  <c:v>-5.10230027406477</c:v>
                </c:pt>
                <c:pt idx="312">
                  <c:v>-5.32260948894102</c:v>
                </c:pt>
                <c:pt idx="313">
                  <c:v>-5.54350327265366</c:v>
                </c:pt>
                <c:pt idx="314">
                  <c:v>-5.76496517936908</c:v>
                </c:pt>
                <c:pt idx="315">
                  <c:v>-5.98697660156679</c:v>
                </c:pt>
                <c:pt idx="316">
                  <c:v>-6.20951683017154</c:v>
                </c:pt>
                <c:pt idx="317">
                  <c:v>-6.43256313087013</c:v>
                </c:pt>
                <c:pt idx="318">
                  <c:v>-6.65609083604271</c:v>
                </c:pt>
                <c:pt idx="319">
                  <c:v>-6.88007345153883</c:v>
                </c:pt>
                <c:pt idx="320">
                  <c:v>-7.10448277734276</c:v>
                </c:pt>
                <c:pt idx="321">
                  <c:v>-7.32928904099473</c:v>
                </c:pt>
                <c:pt idx="322">
                  <c:v>-7.55446104248476</c:v>
                </c:pt>
                <c:pt idx="323">
                  <c:v>-7.77996630919707</c:v>
                </c:pt>
                <c:pt idx="324">
                  <c:v>-8.00577125937106</c:v>
                </c:pt>
                <c:pt idx="325">
                  <c:v>-8.23184137245726</c:v>
                </c:pt>
                <c:pt idx="326">
                  <c:v>-8.45814136468053</c:v>
                </c:pt>
                <c:pt idx="327">
                  <c:v>-8.6846353680907</c:v>
                </c:pt>
                <c:pt idx="328">
                  <c:v>-8.91128711136577</c:v>
                </c:pt>
                <c:pt idx="329">
                  <c:v>-9.13806010064884</c:v>
                </c:pt>
                <c:pt idx="330">
                  <c:v>-9.36491779874166</c:v>
                </c:pt>
                <c:pt idx="331">
                  <c:v>-9.59182380103686</c:v>
                </c:pt>
                <c:pt idx="332">
                  <c:v>-9.81874200666155</c:v>
                </c:pt>
                <c:pt idx="333">
                  <c:v>-10.0456367834</c:v>
                </c:pt>
                <c:pt idx="334">
                  <c:v>-10.2724731250931</c:v>
                </c:pt>
                <c:pt idx="335">
                  <c:v>-10.4992168003393</c:v>
                </c:pt>
                <c:pt idx="336">
                  <c:v>-10.7258344914701</c:v>
                </c:pt>
                <c:pt idx="337">
                  <c:v>-10.9522939229281</c:v>
                </c:pt>
                <c:pt idx="338">
                  <c:v>-11.1785639783297</c:v>
                </c:pt>
                <c:pt idx="339">
                  <c:v>-11.4046148056596</c:v>
                </c:pt>
                <c:pt idx="340">
                  <c:v>-11.6304179102002</c:v>
                </c:pt>
                <c:pt idx="341">
                  <c:v>-11.8559462349592</c:v>
                </c:pt>
                <c:pt idx="342">
                  <c:v>-12.0811742285064</c:v>
                </c:pt>
                <c:pt idx="343">
                  <c:v>-12.3060779002742</c:v>
                </c:pt>
                <c:pt idx="344">
                  <c:v>-12.5306348635127</c:v>
                </c:pt>
                <c:pt idx="345">
                  <c:v>-12.7548243662063</c:v>
                </c:pt>
                <c:pt idx="346">
                  <c:v>-12.9786273103765</c:v>
                </c:pt>
                <c:pt idx="347">
                  <c:v>-13.2020262602834</c:v>
                </c:pt>
                <c:pt idx="348">
                  <c:v>-13.4250054401307</c:v>
                </c:pt>
                <c:pt idx="349">
                  <c:v>-13.6475507219384</c:v>
                </c:pt>
                <c:pt idx="350">
                  <c:v>-13.869649604311</c:v>
                </c:pt>
                <c:pt idx="351">
                  <c:v>-14.0912911828638</c:v>
                </c:pt>
                <c:pt idx="352">
                  <c:v>-14.3124661131039</c:v>
                </c:pt>
                <c:pt idx="353">
                  <c:v>-14.533166566572</c:v>
                </c:pt>
                <c:pt idx="354">
                  <c:v>-14.7533861810631</c:v>
                </c:pt>
                <c:pt idx="355">
                  <c:v>-14.9731200057313</c:v>
                </c:pt>
                <c:pt idx="356">
                  <c:v>-15.1923644418726</c:v>
                </c:pt>
                <c:pt idx="357">
                  <c:v>-15.4111171801548</c:v>
                </c:pt>
                <c:pt idx="358">
                  <c:v>-15.6293771350329</c:v>
                </c:pt>
                <c:pt idx="359">
                  <c:v>-15.8471443770494</c:v>
                </c:pt>
                <c:pt idx="360">
                  <c:v>-16.0644200636826</c:v>
                </c:pt>
                <c:pt idx="361">
                  <c:v>-16.2812063693541</c:v>
                </c:pt>
                <c:pt idx="362">
                  <c:v>-16.4975064151641</c:v>
                </c:pt>
                <c:pt idx="363">
                  <c:v>-16.7133241988706</c:v>
                </c:pt>
                <c:pt idx="364">
                  <c:v>-16.9286645255794</c:v>
                </c:pt>
                <c:pt idx="365">
                  <c:v>-17.1435329395601</c:v>
                </c:pt>
                <c:pt idx="366">
                  <c:v>-17.357935657555</c:v>
                </c:pt>
                <c:pt idx="367">
                  <c:v>-17.571879503898</c:v>
                </c:pt>
                <c:pt idx="368">
                  <c:v>-17.785371847715</c:v>
                </c:pt>
                <c:pt idx="369">
                  <c:v>-17.9984205424303</c:v>
                </c:pt>
                <c:pt idx="370">
                  <c:v>-18.2110338677648</c:v>
                </c:pt>
                <c:pt idx="371">
                  <c:v>-18.4232204743702</c:v>
                </c:pt>
                <c:pt idx="372">
                  <c:v>-18.6349893312067</c:v>
                </c:pt>
                <c:pt idx="373">
                  <c:v>-18.8463496757386</c:v>
                </c:pt>
                <c:pt idx="374">
                  <c:v>-19.0573109669948</c:v>
                </c:pt>
                <c:pt idx="375">
                  <c:v>-19.2678828415078</c:v>
                </c:pt>
                <c:pt idx="376">
                  <c:v>-19.4780750721257</c:v>
                </c:pt>
                <c:pt idx="377">
                  <c:v>-19.6878975296687</c:v>
                </c:pt>
                <c:pt idx="378">
                  <c:v>-19.8973601473817</c:v>
                </c:pt>
                <c:pt idx="379">
                  <c:v>-20.1064728881212</c:v>
                </c:pt>
                <c:pt idx="380">
                  <c:v>-20.3152457141982</c:v>
                </c:pt>
                <c:pt idx="381">
                  <c:v>-20.5236885597892</c:v>
                </c:pt>
                <c:pt idx="382">
                  <c:v>-20.7318113058214</c:v>
                </c:pt>
                <c:pt idx="383">
                  <c:v>-20.939623757223</c:v>
                </c:pt>
                <c:pt idx="384">
                  <c:v>-21.1471356224352</c:v>
                </c:pt>
                <c:pt idx="385">
                  <c:v>-21.3543564950678</c:v>
                </c:pt>
                <c:pt idx="386">
                  <c:v>-21.5612958375874</c:v>
                </c:pt>
                <c:pt idx="387">
                  <c:v>-21.7679629669201</c:v>
                </c:pt>
                <c:pt idx="388">
                  <c:v>-21.9743670418541</c:v>
                </c:pt>
                <c:pt idx="389">
                  <c:v>-22.1805170521253</c:v>
                </c:pt>
                <c:pt idx="390">
                  <c:v>-22.3864218090767</c:v>
                </c:pt>
                <c:pt idx="391">
                  <c:v>-22.5920899377776</c:v>
                </c:pt>
                <c:pt idx="392">
                  <c:v>-22.7975298704977</c:v>
                </c:pt>
                <c:pt idx="393">
                  <c:v>-23.0027498414327</c:v>
                </c:pt>
                <c:pt idx="394">
                  <c:v>-23.20775788258</c:v>
                </c:pt>
                <c:pt idx="395">
                  <c:v>-23.4125618206721</c:v>
                </c:pt>
                <c:pt idx="396">
                  <c:v>-23.6171692750742</c:v>
                </c:pt>
                <c:pt idx="397">
                  <c:v>-23.821587656561</c:v>
                </c:pt>
                <c:pt idx="398">
                  <c:v>-24.0258241668915</c:v>
                </c:pt>
                <c:pt idx="399">
                  <c:v>-24.2298857991034</c:v>
                </c:pt>
                <c:pt idx="400">
                  <c:v>-24.4337793384563</c:v>
                </c:pt>
                <c:pt idx="401">
                  <c:v>-24.6375113639554</c:v>
                </c:pt>
                <c:pt idx="402">
                  <c:v>-24.841088250391</c:v>
                </c:pt>
                <c:pt idx="403">
                  <c:v>-25.0445161708371</c:v>
                </c:pt>
                <c:pt idx="404">
                  <c:v>-25.2478010995538</c:v>
                </c:pt>
                <c:pt idx="405">
                  <c:v>-25.4509488152409</c:v>
                </c:pt>
                <c:pt idx="406">
                  <c:v>-25.6539649045985</c:v>
                </c:pt>
                <c:pt idx="407">
                  <c:v>-25.8568547661501</c:v>
                </c:pt>
                <c:pt idx="408">
                  <c:v>-26.0596236142888</c:v>
                </c:pt>
                <c:pt idx="409">
                  <c:v>-26.2622764835109</c:v>
                </c:pt>
                <c:pt idx="410">
                  <c:v>-26.4648182328031</c:v>
                </c:pt>
                <c:pt idx="411">
                  <c:v>-26.6672535501547</c:v>
                </c:pt>
                <c:pt idx="412">
                  <c:v>-26.869586957166</c:v>
                </c:pt>
                <c:pt idx="413">
                  <c:v>-27.0718228137288</c:v>
                </c:pt>
                <c:pt idx="414">
                  <c:v>-27.2739653227577</c:v>
                </c:pt>
                <c:pt idx="415">
                  <c:v>-27.4760185349511</c:v>
                </c:pt>
                <c:pt idx="416">
                  <c:v>-27.6779863535654</c:v>
                </c:pt>
                <c:pt idx="417">
                  <c:v>-27.879872539186</c:v>
                </c:pt>
                <c:pt idx="418">
                  <c:v>-28.0816807144803</c:v>
                </c:pt>
                <c:pt idx="419">
                  <c:v>-28.283414368923</c:v>
                </c:pt>
                <c:pt idx="420">
                  <c:v>-28.4850768634802</c:v>
                </c:pt>
                <c:pt idx="421">
                  <c:v>-28.6866714352449</c:v>
                </c:pt>
                <c:pt idx="422">
                  <c:v>-28.8882012020156</c:v>
                </c:pt>
                <c:pt idx="423">
                  <c:v>-29.0896691668103</c:v>
                </c:pt>
                <c:pt idx="424">
                  <c:v>-29.2910782223123</c:v>
                </c:pt>
                <c:pt idx="425">
                  <c:v>-29.4924311552407</c:v>
                </c:pt>
                <c:pt idx="426">
                  <c:v>-29.6937306506447</c:v>
                </c:pt>
                <c:pt idx="427">
                  <c:v>-29.894979296116</c:v>
                </c:pt>
                <c:pt idx="428">
                  <c:v>-30.0961795859192</c:v>
                </c:pt>
                <c:pt idx="429">
                  <c:v>-30.2973339250379</c:v>
                </c:pt>
                <c:pt idx="430">
                  <c:v>-30.4984446331366</c:v>
                </c:pt>
                <c:pt idx="431">
                  <c:v>-30.6995139484361</c:v>
                </c:pt>
                <c:pt idx="432">
                  <c:v>-30.9005440315066</c:v>
                </c:pt>
                <c:pt idx="433">
                  <c:v>-31.1015369689736</c:v>
                </c:pt>
                <c:pt idx="434">
                  <c:v>-31.3024947771433</c:v>
                </c:pt>
                <c:pt idx="435">
                  <c:v>-31.5034194055457</c:v>
                </c:pt>
                <c:pt idx="436">
                  <c:v>-31.7043127403972</c:v>
                </c:pt>
                <c:pt idx="437">
                  <c:v>-31.9051766079873</c:v>
                </c:pt>
                <c:pt idx="438">
                  <c:v>-32.1060127779893</c:v>
                </c:pt>
                <c:pt idx="439">
                  <c:v>-32.3068229666981</c:v>
                </c:pt>
                <c:pt idx="440">
                  <c:v>-32.507608840199</c:v>
                </c:pt>
                <c:pt idx="441">
                  <c:v>-32.7083720174686</c:v>
                </c:pt>
                <c:pt idx="442">
                  <c:v>-32.9091140734143</c:v>
                </c:pt>
                <c:pt idx="443">
                  <c:v>-33.1098365418504</c:v>
                </c:pt>
                <c:pt idx="444">
                  <c:v>-33.3105409184199</c:v>
                </c:pt>
                <c:pt idx="445">
                  <c:v>-33.5112286634612</c:v>
                </c:pt>
                <c:pt idx="446">
                  <c:v>-33.7119012048267</c:v>
                </c:pt>
                <c:pt idx="447">
                  <c:v>-33.9125599406532</c:v>
                </c:pt>
                <c:pt idx="448">
                  <c:v>-34.1132062420921</c:v>
                </c:pt>
                <c:pt idx="449">
                  <c:v>-34.313841456</c:v>
                </c:pt>
                <c:pt idx="450">
                  <c:v>-34.5144669075958</c:v>
                </c:pt>
                <c:pt idx="451">
                  <c:v>-34.7150839030862</c:v>
                </c:pt>
                <c:pt idx="452">
                  <c:v>-34.915693732266</c:v>
                </c:pt>
                <c:pt idx="453">
                  <c:v>-35.1162976710952</c:v>
                </c:pt>
                <c:pt idx="454">
                  <c:v>-35.3168969842592</c:v>
                </c:pt>
                <c:pt idx="455">
                  <c:v>-35.5174929277143</c:v>
                </c:pt>
                <c:pt idx="456">
                  <c:v>-35.7180867512235</c:v>
                </c:pt>
                <c:pt idx="457">
                  <c:v>-35.9186797008879</c:v>
                </c:pt>
                <c:pt idx="458">
                  <c:v>-36.1192730216766</c:v>
                </c:pt>
                <c:pt idx="459">
                  <c:v>-36.3198679599599</c:v>
                </c:pt>
                <c:pt idx="460">
                  <c:v>-36.520465766052</c:v>
                </c:pt>
                <c:pt idx="461">
                  <c:v>-36.7210676967642</c:v>
                </c:pt>
                <c:pt idx="462">
                  <c:v>-36.9216750179774</c:v>
                </c:pt>
                <c:pt idx="463">
                  <c:v>-37.1222890072352</c:v>
                </c:pt>
                <c:pt idx="464">
                  <c:v>-37.3229109563634</c:v>
                </c:pt>
                <c:pt idx="465">
                  <c:v>-37.5235421741227</c:v>
                </c:pt>
                <c:pt idx="466">
                  <c:v>-37.7241839888952</c:v>
                </c:pt>
                <c:pt idx="467">
                  <c:v>-37.9248377514146</c:v>
                </c:pt>
                <c:pt idx="468">
                  <c:v>-38.1255048375409</c:v>
                </c:pt>
                <c:pt idx="469">
                  <c:v>-38.326186651088</c:v>
                </c:pt>
                <c:pt idx="470">
                  <c:v>-38.5268846267066</c:v>
                </c:pt>
                <c:pt idx="471">
                  <c:v>-38.7276002328306</c:v>
                </c:pt>
                <c:pt idx="472">
                  <c:v>-38.92833497469</c:v>
                </c:pt>
                <c:pt idx="473">
                  <c:v>-39.1290903973965</c:v>
                </c:pt>
                <c:pt idx="474">
                  <c:v>-39.3298680891099</c:v>
                </c:pt>
                <c:pt idx="475">
                  <c:v>-39.5306696842858</c:v>
                </c:pt>
                <c:pt idx="476">
                  <c:v>-39.7314968670161</c:v>
                </c:pt>
                <c:pt idx="477">
                  <c:v>-39.9323513744657</c:v>
                </c:pt>
                <c:pt idx="478">
                  <c:v>-40.1332350004095</c:v>
                </c:pt>
                <c:pt idx="479">
                  <c:v>-40.3341495988819</c:v>
                </c:pt>
                <c:pt idx="480">
                  <c:v>-40.5350970879384</c:v>
                </c:pt>
                <c:pt idx="481">
                  <c:v>-40.7360794535401</c:v>
                </c:pt>
                <c:pt idx="482">
                  <c:v>-40.9370987535683</c:v>
                </c:pt>
                <c:pt idx="483">
                  <c:v>-41.1381571219716</c:v>
                </c:pt>
                <c:pt idx="484">
                  <c:v>-41.3392567730583</c:v>
                </c:pt>
                <c:pt idx="485">
                  <c:v>-41.5404000059368</c:v>
                </c:pt>
                <c:pt idx="486">
                  <c:v>-41.7415892091136</c:v>
                </c:pt>
                <c:pt idx="487">
                  <c:v>-41.9428268652555</c:v>
                </c:pt>
                <c:pt idx="488">
                  <c:v>-42.1441155561243</c:v>
                </c:pt>
                <c:pt idx="489">
                  <c:v>-42.3454579676909</c:v>
                </c:pt>
                <c:pt idx="490">
                  <c:v>-42.5468568954372</c:v>
                </c:pt>
                <c:pt idx="491">
                  <c:v>-42.748315249854</c:v>
                </c:pt>
                <c:pt idx="492">
                  <c:v>-42.9498360621429</c:v>
                </c:pt>
                <c:pt idx="493">
                  <c:v>-43.1514224901304</c:v>
                </c:pt>
                <c:pt idx="494">
                  <c:v>-43.353077824402</c:v>
                </c:pt>
                <c:pt idx="495">
                  <c:v>-43.5548054946669</c:v>
                </c:pt>
                <c:pt idx="496">
                  <c:v>-43.756609076359</c:v>
                </c:pt>
                <c:pt idx="497">
                  <c:v>-43.9584922974844</c:v>
                </c:pt>
                <c:pt idx="498">
                  <c:v>-44.1604590457252</c:v>
                </c:pt>
                <c:pt idx="499">
                  <c:v>-44.3625133758051</c:v>
                </c:pt>
                <c:pt idx="500">
                  <c:v>-44.564659517129</c:v>
                </c:pt>
                <c:pt idx="501">
                  <c:v>-44.7669018817022</c:v>
                </c:pt>
                <c:pt idx="502">
                  <c:v>-44.9692450723402</c:v>
                </c:pt>
                <c:pt idx="503">
                  <c:v>-45.1716938911755</c:v>
                </c:pt>
                <c:pt idx="504">
                  <c:v>-45.3742533484719</c:v>
                </c:pt>
                <c:pt idx="505">
                  <c:v>-45.5769286717511</c:v>
                </c:pt>
                <c:pt idx="506">
                  <c:v>-45.7797253152432</c:v>
                </c:pt>
                <c:pt idx="507">
                  <c:v>-45.9826489696652</c:v>
                </c:pt>
                <c:pt idx="508">
                  <c:v>-46.1857055723371</c:v>
                </c:pt>
                <c:pt idx="509">
                  <c:v>-46.3889013176405</c:v>
                </c:pt>
                <c:pt idx="510">
                  <c:v>-46.5922426678256</c:v>
                </c:pt>
                <c:pt idx="511">
                  <c:v>-46.7957363641738</c:v>
                </c:pt>
                <c:pt idx="512">
                  <c:v>-46.9993894385188</c:v>
                </c:pt>
                <c:pt idx="513">
                  <c:v>-47.20320922513</c:v>
                </c:pt>
                <c:pt idx="514">
                  <c:v>-47.4072033729622</c:v>
                </c:pt>
                <c:pt idx="515">
                  <c:v>-47.6113798582715</c:v>
                </c:pt>
                <c:pt idx="516">
                  <c:v>-47.8157469975996</c:v>
                </c:pt>
                <c:pt idx="517">
                  <c:v>-48.0203134611249</c:v>
                </c:pt>
                <c:pt idx="518">
                  <c:v>-48.2250882863768</c:v>
                </c:pt>
                <c:pt idx="519">
                  <c:v>-48.4300808923099</c:v>
                </c:pt>
                <c:pt idx="520">
                  <c:v>-48.6353010937338</c:v>
                </c:pt>
                <c:pt idx="521">
                  <c:v>-48.8407591160855</c:v>
                </c:pt>
                <c:pt idx="522">
                  <c:v>-49.0464656105384</c:v>
                </c:pt>
                <c:pt idx="523">
                  <c:v>-49.2524316694323</c:v>
                </c:pt>
                <c:pt idx="524">
                  <c:v>-49.4586688420095</c:v>
                </c:pt>
                <c:pt idx="525">
                  <c:v>-49.6651891504376</c:v>
                </c:pt>
                <c:pt idx="526">
                  <c:v>-49.872005106095</c:v>
                </c:pt>
                <c:pt idx="527">
                  <c:v>-50.0791297260974</c:v>
                </c:pt>
                <c:pt idx="528">
                  <c:v>-50.2865765500313</c:v>
                </c:pt>
                <c:pt idx="529">
                  <c:v>-50.4943596568614</c:v>
                </c:pt>
                <c:pt idx="530">
                  <c:v>-50.7024936819763</c:v>
                </c:pt>
                <c:pt idx="531">
                  <c:v>-50.9109938343241</c:v>
                </c:pt>
                <c:pt idx="532">
                  <c:v>-51.1198759135944</c:v>
                </c:pt>
                <c:pt idx="533">
                  <c:v>-51.3291563273891</c:v>
                </c:pt>
                <c:pt idx="534">
                  <c:v>-51.5388521083235</c:v>
                </c:pt>
                <c:pt idx="535">
                  <c:v>-51.7489809309924</c:v>
                </c:pt>
                <c:pt idx="536">
                  <c:v>-51.9595611287261</c:v>
                </c:pt>
                <c:pt idx="537">
                  <c:v>-52.1706117100599</c:v>
                </c:pt>
                <c:pt idx="538">
                  <c:v>-52.3821523748283</c:v>
                </c:pt>
                <c:pt idx="539">
                  <c:v>-52.5942035297907</c:v>
                </c:pt>
                <c:pt idx="540">
                  <c:v>-52.8067863036865</c:v>
                </c:pt>
                <c:pt idx="541">
                  <c:v>-53.01992256161</c:v>
                </c:pt>
              </c:numCache>
            </c:numRef>
          </c:yVal>
          <c:smooth val="1"/>
        </c:ser>
        <c:ser>
          <c:idx val="2"/>
          <c:order val="2"/>
          <c:tx>
            <c:strRef>
              <c:f>"f_LP"</c:f>
              <c:strCache>
                <c:ptCount val="1"/>
                <c:pt idx="0">
                  <c:v>f_LP</c:v>
                </c:pt>
              </c:strCache>
            </c:strRef>
          </c:tx>
          <c:spPr>
            <a:ln w="38100" cap="rnd" cmpd="sng" algn="ctr">
              <a:solidFill>
                <a:schemeClr val="accent3">
                  <a:shade val="76667"/>
                  <a:shade val="95000"/>
                  <a:satMod val="105000"/>
                </a:schemeClr>
              </a:solidFill>
              <a:prstDash val="solid"/>
              <a:round/>
            </a:ln>
          </c:spPr>
          <c:marker>
            <c:symbol val="x"/>
            <c:size val="7"/>
            <c:spPr>
              <a:noFill/>
            </c:spPr>
          </c:marker>
          <c:dPt>
            <c:idx val="0"/>
            <c:marker>
              <c:symbol val="x"/>
              <c:size val="7"/>
              <c:spPr>
                <a:noFill/>
                <a:ln w="19050" cap="flat" cmpd="sng" algn="ctr">
                  <a:solidFill>
                    <a:schemeClr val="tx1"/>
                  </a:solidFill>
                  <a:prstDash val="solid"/>
                  <a:round/>
                </a:ln>
              </c:spPr>
            </c:marker>
            <c:bubble3D val="0"/>
          </c:dPt>
          <c:dLbls>
            <c:dLbl>
              <c:idx val="0"/>
              <c:layout/>
              <c:tx>
                <c:rich>
                  <a:bodyPr rot="0" spcFirstLastPara="0" vertOverflow="ellipsis" vert="horz" wrap="square" lIns="38100" tIns="19050" rIns="38100" bIns="19050" anchor="ctr" anchorCtr="1"/>
                  <a:lstStyle/>
                  <a:p>
                    <a:pPr>
                      <a:defRPr lang="pl-PL" sz="1000" b="0" i="0" u="none" strike="noStrike" kern="1200" baseline="0">
                        <a:solidFill>
                          <a:schemeClr val="tx1"/>
                        </a:solidFill>
                        <a:latin typeface="+mn-lt"/>
                        <a:ea typeface="+mn-ea"/>
                        <a:cs typeface="+mn-cs"/>
                      </a:defRPr>
                    </a:pPr>
                    <a:r>
                      <a:rPr lang="en-US" sz="1100" b="1"/>
                      <a:t>f</a:t>
                    </a:r>
                    <a:r>
                      <a:rPr lang="en-US" sz="1100" b="1" baseline="-25000"/>
                      <a:t>LP</a:t>
                    </a:r>
                    <a:endParaRPr lang="en-US" b="1" baseline="-25000"/>
                  </a:p>
                </c:rich>
              </c:tx>
              <c:dLblPos val="b"/>
              <c:showLegendKey val="0"/>
              <c:showVal val="0"/>
              <c:showCatName val="0"/>
              <c:showSerName val="1"/>
              <c:showPercent val="0"/>
              <c:showBubbleSize val="0"/>
              <c:extLst>
                <c:ext xmlns:c15="http://schemas.microsoft.com/office/drawing/2012/chart" uri="{CE6537A1-D6FC-4f65-9D91-7224C49458BB}"/>
              </c:extLst>
            </c:dLbl>
            <c:spPr>
              <a:noFill/>
              <a:ln>
                <a:noFill/>
              </a:ln>
              <a:effectLst/>
            </c:spPr>
            <c:txPr>
              <a:bodyPr rot="0" spcFirstLastPara="0" vertOverflow="ellipsis" vert="horz" wrap="square" lIns="38100" tIns="19050" rIns="38100" bIns="19050" anchor="ctr" anchorCtr="1"/>
              <a:lstStyle/>
              <a:p>
                <a:pPr>
                  <a:defRPr lang="pl-PL" sz="1000" b="0" i="0" u="none" strike="noStrike" kern="1200" baseline="0">
                    <a:solidFill>
                      <a:schemeClr val="tx1"/>
                    </a:solidFill>
                    <a:latin typeface="+mn-lt"/>
                    <a:ea typeface="+mn-ea"/>
                    <a:cs typeface="+mn-cs"/>
                  </a:defRPr>
                </a:pPr>
              </a:p>
            </c:txPr>
            <c:dLblPos val="b"/>
            <c:showLegendKey val="0"/>
            <c:showVal val="0"/>
            <c:showCatName val="0"/>
            <c:showSerName val="1"/>
            <c:showPercent val="0"/>
            <c:showBubbleSize val="0"/>
            <c:showLeaderLines val="0"/>
            <c:extLst>
              <c:ext xmlns:c15="http://schemas.microsoft.com/office/drawing/2012/chart" uri="{CE6537A1-D6FC-4f65-9D91-7224C49458BB}">
                <c15:layout/>
                <c15:showLeaderLines val="0"/>
                <c15:leaderLines/>
              </c:ext>
            </c:extLst>
          </c:dLbls>
          <c:xVal>
            <c:numRef>
              <c:f>Loop_Modeling!$O$11</c:f>
              <c:numCache>
                <c:formatCode>0</c:formatCode>
                <c:ptCount val="1"/>
                <c:pt idx="0">
                  <c:v>119.230926075874</c:v>
                </c:pt>
              </c:numCache>
            </c:numRef>
          </c:xVal>
          <c:yVal>
            <c:numRef>
              <c:f>Loop_Modeling!$BL$11</c:f>
              <c:numCache>
                <c:formatCode>General</c:formatCode>
                <c:ptCount val="1"/>
                <c:pt idx="0">
                  <c:v>41.5061351604338</c:v>
                </c:pt>
              </c:numCache>
            </c:numRef>
          </c:yVal>
          <c:smooth val="0"/>
        </c:ser>
        <c:ser>
          <c:idx val="3"/>
          <c:order val="3"/>
          <c:tx>
            <c:strRef>
              <c:f>"fz_rhp"</c:f>
              <c:strCache>
                <c:ptCount val="1"/>
                <c:pt idx="0">
                  <c:v>fz_rhp</c:v>
                </c:pt>
              </c:strCache>
            </c:strRef>
          </c:tx>
          <c:spPr>
            <a:ln w="28575" cap="rnd" cmpd="sng" algn="ctr">
              <a:solidFill>
                <a:schemeClr val="tx1"/>
              </a:solidFill>
              <a:prstDash val="solid"/>
              <a:round/>
            </a:ln>
          </c:spPr>
          <c:marker>
            <c:symbol val="circle"/>
            <c:size val="7"/>
            <c:spPr>
              <a:noFill/>
              <a:ln w="19050" cap="flat" cmpd="sng" algn="ctr">
                <a:solidFill>
                  <a:schemeClr val="tx1"/>
                </a:solidFill>
                <a:prstDash val="solid"/>
                <a:round/>
              </a:ln>
            </c:spPr>
          </c:marker>
          <c:dLbls>
            <c:dLbl>
              <c:idx val="0"/>
              <c:layout>
                <c:manualLayout>
                  <c:x val="0.00805012095614235"/>
                  <c:y val="-0.0154936672785042"/>
                </c:manualLayout>
              </c:layout>
              <c:dLblPos val="r"/>
              <c:showLegendKey val="0"/>
              <c:showVal val="0"/>
              <c:showCatName val="0"/>
              <c:showSerName val="1"/>
              <c:showPercent val="0"/>
              <c:showBubbleSize val="0"/>
              <c:extLst>
                <c:ext xmlns:c15="http://schemas.microsoft.com/office/drawing/2012/chart" uri="{CE6537A1-D6FC-4f65-9D91-7224C49458BB}">
                  <c15:layout/>
                </c:ext>
              </c:extLst>
            </c:dLbl>
            <c:spPr>
              <a:noFill/>
              <a:ln>
                <a:noFill/>
              </a:ln>
              <a:effectLst/>
            </c:spPr>
            <c:txPr>
              <a:bodyPr rot="0" spcFirstLastPara="0" vertOverflow="ellipsis" vert="horz" wrap="square" lIns="38100" tIns="19050" rIns="38100" bIns="19050" anchor="ctr" anchorCtr="1"/>
              <a:lstStyle/>
              <a:p>
                <a:pPr>
                  <a:defRPr lang="pl-PL" sz="1000" b="1" i="0" u="none" strike="noStrike" kern="1200" baseline="0">
                    <a:solidFill>
                      <a:schemeClr val="tx1"/>
                    </a:solidFill>
                    <a:latin typeface="+mn-lt"/>
                    <a:ea typeface="+mn-ea"/>
                    <a:cs typeface="+mn-cs"/>
                  </a:defRPr>
                </a:pPr>
              </a:p>
            </c:txPr>
            <c:dLblPos val="t"/>
            <c:showLegendKey val="0"/>
            <c:showVal val="0"/>
            <c:showCatName val="0"/>
            <c:showSerName val="1"/>
            <c:showPercent val="0"/>
            <c:showBubbleSize val="0"/>
            <c:showLeaderLines val="0"/>
            <c:extLst>
              <c:ext xmlns:c15="http://schemas.microsoft.com/office/drawing/2012/chart" uri="{CE6537A1-D6FC-4f65-9D91-7224C49458BB}">
                <c15:layout/>
                <c15:showLeaderLines val="0"/>
                <c15:leaderLines/>
              </c:ext>
            </c:extLst>
          </c:dLbls>
          <c:xVal>
            <c:numRef>
              <c:f>Loop_Modeling!$O$9</c:f>
              <c:numCache>
                <c:formatCode>0</c:formatCode>
                <c:ptCount val="1"/>
                <c:pt idx="0">
                  <c:v>21379.022206374</c:v>
                </c:pt>
              </c:numCache>
            </c:numRef>
          </c:xVal>
          <c:yVal>
            <c:numRef>
              <c:f>Loop_Modeling!$BL$9</c:f>
              <c:numCache>
                <c:formatCode>General</c:formatCode>
                <c:ptCount val="1"/>
                <c:pt idx="0">
                  <c:v>-9.81846604443551</c:v>
                </c:pt>
              </c:numCache>
            </c:numRef>
          </c:yVal>
          <c:smooth val="1"/>
        </c:ser>
        <c:ser>
          <c:idx val="4"/>
          <c:order val="4"/>
          <c:tx>
            <c:strRef>
              <c:f>"f_esr"</c:f>
              <c:strCache>
                <c:ptCount val="1"/>
                <c:pt idx="0">
                  <c:v>f_esr</c:v>
                </c:pt>
              </c:strCache>
            </c:strRef>
          </c:tx>
          <c:spPr>
            <a:ln w="28575" cap="rnd" cmpd="sng" algn="ctr">
              <a:noFill/>
              <a:prstDash val="solid"/>
              <a:round/>
            </a:ln>
          </c:spPr>
          <c:marker>
            <c:symbol val="circle"/>
            <c:size val="5"/>
            <c:spPr>
              <a:noFill/>
              <a:ln w="19050" cap="flat" cmpd="sng" algn="ctr">
                <a:solidFill>
                  <a:schemeClr val="tx1"/>
                </a:solidFill>
                <a:prstDash val="solid"/>
                <a:round/>
              </a:ln>
            </c:spPr>
          </c:marker>
          <c:dPt>
            <c:idx val="0"/>
            <c:marker>
              <c:symbol val="circle"/>
              <c:size val="7"/>
              <c:spPr>
                <a:noFill/>
                <a:ln w="19050" cap="flat" cmpd="sng" algn="ctr">
                  <a:solidFill>
                    <a:schemeClr val="tx1"/>
                  </a:solidFill>
                  <a:prstDash val="solid"/>
                  <a:round/>
                </a:ln>
              </c:spPr>
            </c:marker>
            <c:bubble3D val="0"/>
          </c:dPt>
          <c:dLbls>
            <c:dLbl>
              <c:idx val="0"/>
              <c:layout>
                <c:manualLayout>
                  <c:x val="-0.0599047448989965"/>
                  <c:y val="-0.0124571934900871"/>
                </c:manualLayout>
              </c:layout>
              <c:dLblPos val="r"/>
              <c:showLegendKey val="0"/>
              <c:showVal val="0"/>
              <c:showCatName val="0"/>
              <c:showSerName val="1"/>
              <c:showPercent val="0"/>
              <c:showBubbleSize val="0"/>
              <c:extLst>
                <c:ext xmlns:c15="http://schemas.microsoft.com/office/drawing/2012/chart" uri="{CE6537A1-D6FC-4f65-9D91-7224C49458BB}">
                  <c15:layout/>
                </c:ext>
              </c:extLst>
            </c:dLbl>
            <c:spPr>
              <a:noFill/>
              <a:ln>
                <a:noFill/>
              </a:ln>
              <a:effectLst/>
            </c:spPr>
            <c:txPr>
              <a:bodyPr rot="0" spcFirstLastPara="0" vertOverflow="ellipsis" vert="horz" wrap="square" lIns="38100" tIns="19050" rIns="38100" bIns="19050" anchor="ctr" anchorCtr="1"/>
              <a:lstStyle/>
              <a:p>
                <a:pPr>
                  <a:defRPr lang="pl-PL" sz="1000" b="1" i="0" u="none" strike="noStrike" kern="1200" baseline="0">
                    <a:solidFill>
                      <a:schemeClr val="tx1"/>
                    </a:solidFill>
                    <a:latin typeface="+mn-lt"/>
                    <a:ea typeface="+mn-ea"/>
                    <a:cs typeface="+mn-cs"/>
                  </a:defRPr>
                </a:pPr>
              </a:p>
            </c:txPr>
            <c:dLblPos val="t"/>
            <c:showLegendKey val="0"/>
            <c:showVal val="0"/>
            <c:showCatName val="0"/>
            <c:showSerName val="1"/>
            <c:showPercent val="0"/>
            <c:showBubbleSize val="0"/>
            <c:showLeaderLines val="0"/>
            <c:extLst>
              <c:ext xmlns:c15="http://schemas.microsoft.com/office/drawing/2012/chart" uri="{CE6537A1-D6FC-4f65-9D91-7224C49458BB}">
                <c15:layout/>
                <c15:showLeaderLines val="0"/>
                <c15:leaderLines/>
              </c:ext>
            </c:extLst>
          </c:dLbls>
          <c:xVal>
            <c:numRef>
              <c:f>Loop_Modeling!$O$10</c:f>
              <c:numCache>
                <c:formatCode>0</c:formatCode>
                <c:ptCount val="1"/>
                <c:pt idx="0">
                  <c:v>10150.1876971872</c:v>
                </c:pt>
              </c:numCache>
            </c:numRef>
          </c:xVal>
          <c:yVal>
            <c:numRef>
              <c:f>Loop_Modeling!$BL$10</c:f>
              <c:numCache>
                <c:formatCode>General</c:formatCode>
                <c:ptCount val="1"/>
                <c:pt idx="0">
                  <c:v>-2.64486670244524</c:v>
                </c:pt>
              </c:numCache>
            </c:numRef>
          </c:yVal>
          <c:smooth val="1"/>
        </c:ser>
        <c:ser>
          <c:idx val="5"/>
          <c:order val="5"/>
          <c:tx>
            <c:strRef>
              <c:f>"fz_ea"</c:f>
              <c:strCache>
                <c:ptCount val="1"/>
                <c:pt idx="0">
                  <c:v>fz_ea</c:v>
                </c:pt>
              </c:strCache>
            </c:strRef>
          </c:tx>
          <c:marker>
            <c:symbol val="circle"/>
            <c:size val="8"/>
            <c:spPr>
              <a:noFill/>
              <a:ln w="25400" cap="flat" cmpd="sng" algn="ctr">
                <a:solidFill>
                  <a:srgbClr val="00B0F0"/>
                </a:solidFill>
                <a:prstDash val="solid"/>
                <a:round/>
              </a:ln>
            </c:spPr>
          </c:marker>
          <c:dLbls>
            <c:dLbl>
              <c:idx val="0"/>
              <c:layout/>
              <c:numFmt formatCode="General" sourceLinked="1"/>
              <c:spPr>
                <a:noFill/>
                <a:ln>
                  <a:noFill/>
                </a:ln>
                <a:effectLst/>
              </c:spPr>
              <c:txPr>
                <a:bodyPr rot="0" spcFirstLastPara="0" vertOverflow="ellipsis" vert="horz" wrap="square" lIns="38100" tIns="19050" rIns="38100" bIns="19050" anchor="ctr" anchorCtr="1"/>
                <a:lstStyle/>
                <a:p>
                  <a:pPr>
                    <a:defRPr lang="pl-PL" sz="1000" b="1" i="0" u="none" strike="noStrike" kern="1200" baseline="0">
                      <a:solidFill>
                        <a:schemeClr val="tx1"/>
                      </a:solidFill>
                      <a:latin typeface="+mn-lt"/>
                      <a:ea typeface="+mn-ea"/>
                      <a:cs typeface="+mn-cs"/>
                    </a:defRPr>
                  </a:pPr>
                </a:p>
              </c:txPr>
              <c:dLblPos val="b"/>
              <c:showLegendKey val="0"/>
              <c:showVal val="0"/>
              <c:showCatName val="0"/>
              <c:showSerName val="1"/>
              <c:showPercent val="0"/>
              <c:showBubbleSize val="0"/>
              <c:extLst>
                <c:ext xmlns:c15="http://schemas.microsoft.com/office/drawing/2012/chart" uri="{CE6537A1-D6FC-4f65-9D91-7224C49458BB}"/>
              </c:extLst>
            </c:dLbl>
            <c:spPr>
              <a:noFill/>
              <a:ln>
                <a:noFill/>
              </a:ln>
              <a:effectLst/>
            </c:spPr>
            <c:txPr>
              <a:bodyPr rot="0" spcFirstLastPara="0" vertOverflow="ellipsis" vert="horz" wrap="square" lIns="38100" tIns="19050" rIns="38100" bIns="19050" anchor="ctr" anchorCtr="1"/>
              <a:lstStyle/>
              <a:p>
                <a:pPr>
                  <a:defRPr lang="pl-PL" sz="1000" b="0" i="0" u="none" strike="noStrike" kern="1200" baseline="0">
                    <a:solidFill>
                      <a:schemeClr val="tx1"/>
                    </a:solidFill>
                    <a:latin typeface="+mn-lt"/>
                    <a:ea typeface="+mn-ea"/>
                    <a:cs typeface="+mn-cs"/>
                  </a:defRPr>
                </a:pPr>
              </a:p>
            </c:txPr>
            <c:dLblPos val="r"/>
            <c:showLegendKey val="0"/>
            <c:showVal val="0"/>
            <c:showCatName val="0"/>
            <c:showSerName val="0"/>
            <c:showPercent val="0"/>
            <c:showBubbleSize val="0"/>
            <c:showLeaderLines val="0"/>
            <c:extLst>
              <c:ext xmlns:c15="http://schemas.microsoft.com/office/drawing/2012/chart" uri="{CE6537A1-D6FC-4f65-9D91-7224C49458BB}">
                <c15:layout/>
                <c15:showLeaderLines val="0"/>
                <c15:leaderLines/>
              </c:ext>
            </c:extLst>
          </c:dLbls>
          <c:xVal>
            <c:numRef>
              <c:f>Loop_Modeling!$O$12</c:f>
              <c:numCache>
                <c:formatCode>General</c:formatCode>
                <c:ptCount val="1"/>
                <c:pt idx="0">
                  <c:v>289.372623803446</c:v>
                </c:pt>
              </c:numCache>
            </c:numRef>
          </c:xVal>
          <c:yVal>
            <c:numRef>
              <c:f>Loop_Modeling!$BL$12</c:f>
              <c:numCache>
                <c:formatCode>General</c:formatCode>
                <c:ptCount val="1"/>
                <c:pt idx="0">
                  <c:v>30.7620557100541</c:v>
                </c:pt>
              </c:numCache>
            </c:numRef>
          </c:yVal>
          <c:smooth val="1"/>
        </c:ser>
        <c:ser>
          <c:idx val="6"/>
          <c:order val="6"/>
          <c:tx>
            <c:strRef>
              <c:f>"fp_ea"</c:f>
              <c:strCache>
                <c:ptCount val="1"/>
                <c:pt idx="0">
                  <c:v>fp_ea</c:v>
                </c:pt>
              </c:strCache>
            </c:strRef>
          </c:tx>
          <c:marker>
            <c:symbol val="x"/>
            <c:size val="7"/>
            <c:spPr>
              <a:noFill/>
              <a:ln w="25400" cap="flat" cmpd="sng" algn="ctr">
                <a:solidFill>
                  <a:srgbClr val="00B0F0"/>
                </a:solidFill>
                <a:prstDash val="solid"/>
                <a:round/>
              </a:ln>
            </c:spPr>
          </c:marker>
          <c:dLbls>
            <c:dLbl>
              <c:idx val="0"/>
              <c:layout>
                <c:manualLayout>
                  <c:x val="-0.0539957399119839"/>
                  <c:y val="0.0337125100090066"/>
                </c:manualLayout>
              </c:layout>
              <c:dLblPos val="r"/>
              <c:showLegendKey val="0"/>
              <c:showVal val="0"/>
              <c:showCatName val="0"/>
              <c:showSerName val="1"/>
              <c:showPercent val="0"/>
              <c:showBubbleSize val="0"/>
              <c:extLst>
                <c:ext xmlns:c15="http://schemas.microsoft.com/office/drawing/2012/chart" uri="{CE6537A1-D6FC-4f65-9D91-7224C49458BB}">
                  <c15:layout/>
                </c:ext>
              </c:extLst>
            </c:dLbl>
            <c:spPr>
              <a:noFill/>
              <a:ln>
                <a:noFill/>
              </a:ln>
              <a:effectLst/>
            </c:spPr>
            <c:txPr>
              <a:bodyPr rot="0" spcFirstLastPara="0" vertOverflow="ellipsis" vert="horz" wrap="square" lIns="38100" tIns="19050" rIns="38100" bIns="19050" anchor="ctr" anchorCtr="1"/>
              <a:lstStyle/>
              <a:p>
                <a:pPr>
                  <a:defRPr lang="pl-PL" sz="1000" b="1" i="0" u="none" strike="noStrike" kern="1200" baseline="0">
                    <a:solidFill>
                      <a:schemeClr val="tx1"/>
                    </a:solidFill>
                    <a:latin typeface="+mn-lt"/>
                    <a:ea typeface="+mn-ea"/>
                    <a:cs typeface="+mn-cs"/>
                  </a:defRPr>
                </a:pPr>
              </a:p>
            </c:txPr>
            <c:dLblPos val="b"/>
            <c:showLegendKey val="0"/>
            <c:showVal val="0"/>
            <c:showCatName val="0"/>
            <c:showSerName val="1"/>
            <c:showPercent val="0"/>
            <c:showBubbleSize val="0"/>
            <c:showLeaderLines val="0"/>
            <c:extLst>
              <c:ext xmlns:c15="http://schemas.microsoft.com/office/drawing/2012/chart" uri="{CE6537A1-D6FC-4f65-9D91-7224C49458BB}">
                <c15:layout/>
                <c15:showLeaderLines val="0"/>
                <c15:leaderLines/>
              </c:ext>
            </c:extLst>
          </c:dLbls>
          <c:xVal>
            <c:numRef>
              <c:f>Loop_Modeling!$O$13</c:f>
              <c:numCache>
                <c:formatCode>General</c:formatCode>
                <c:ptCount val="1"/>
                <c:pt idx="0">
                  <c:v>13834.4741635392</c:v>
                </c:pt>
              </c:numCache>
            </c:numRef>
          </c:xVal>
          <c:yVal>
            <c:numRef>
              <c:f>Loop_Modeling!$BL$13</c:f>
              <c:numCache>
                <c:formatCode>General</c:formatCode>
                <c:ptCount val="1"/>
                <c:pt idx="0">
                  <c:v>-5.56479801659697</c:v>
                </c:pt>
              </c:numCache>
            </c:numRef>
          </c:yVal>
          <c:smooth val="1"/>
        </c:ser>
        <c:dLbls>
          <c:showLegendKey val="0"/>
          <c:showVal val="0"/>
          <c:showCatName val="0"/>
          <c:showSerName val="0"/>
          <c:showPercent val="0"/>
          <c:showBubbleSize val="0"/>
        </c:dLbls>
        <c:axId val="174189952"/>
        <c:axId val="175126016"/>
      </c:scatterChart>
      <c:scatterChart>
        <c:scatterStyle val="smooth"/>
        <c:varyColors val="0"/>
        <c:ser>
          <c:idx val="1"/>
          <c:order val="1"/>
          <c:tx>
            <c:strRef>
              <c:f>"Phase (deg)"</c:f>
              <c:strCache>
                <c:ptCount val="1"/>
                <c:pt idx="0">
                  <c:v>Phase (deg)</c:v>
                </c:pt>
              </c:strCache>
            </c:strRef>
          </c:tx>
          <c:spPr>
            <a:ln w="28575" cap="rnd" cmpd="sng" algn="ctr">
              <a:solidFill>
                <a:schemeClr val="tx1">
                  <a:lumMod val="95000"/>
                  <a:lumOff val="5000"/>
                </a:schemeClr>
              </a:solidFill>
              <a:prstDash val="sysDash"/>
              <a:round/>
            </a:ln>
          </c:spPr>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Loop_Modeling!$BM$19:$BM$560</c:f>
              <c:numCache>
                <c:formatCode>General</c:formatCode>
                <c:ptCount val="542"/>
                <c:pt idx="0">
                  <c:v>87.0608655879368</c:v>
                </c:pt>
                <c:pt idx="1">
                  <c:v>86.9929407220514</c:v>
                </c:pt>
                <c:pt idx="2">
                  <c:v>86.9234717850217</c:v>
                </c:pt>
                <c:pt idx="3">
                  <c:v>86.8524255045374</c:v>
                </c:pt>
                <c:pt idx="4">
                  <c:v>86.7797680221474</c:v>
                </c:pt>
                <c:pt idx="5">
                  <c:v>86.7054648926612</c:v>
                </c:pt>
                <c:pt idx="6">
                  <c:v>86.6294810844135</c:v>
                </c:pt>
                <c:pt idx="7">
                  <c:v>86.5517809804722</c:v>
                </c:pt>
                <c:pt idx="8">
                  <c:v>86.4723283808693</c:v>
                </c:pt>
                <c:pt idx="9">
                  <c:v>86.391086505943</c:v>
                </c:pt>
                <c:pt idx="10">
                  <c:v>86.3080180008819</c:v>
                </c:pt>
                <c:pt idx="11">
                  <c:v>86.2230849415726</c:v>
                </c:pt>
                <c:pt idx="12">
                  <c:v>86.1362488418524</c:v>
                </c:pt>
                <c:pt idx="13">
                  <c:v>86.0474706622805</c:v>
                </c:pt>
                <c:pt idx="14">
                  <c:v>85.9567108205452</c:v>
                </c:pt>
                <c:pt idx="15">
                  <c:v>85.8639292036307</c:v>
                </c:pt>
                <c:pt idx="16">
                  <c:v>85.7690851818785</c:v>
                </c:pt>
                <c:pt idx="17">
                  <c:v>85.6721376250809</c:v>
                </c:pt>
                <c:pt idx="18">
                  <c:v>85.5730449207569</c:v>
                </c:pt>
                <c:pt idx="19">
                  <c:v>85.4717649947648</c:v>
                </c:pt>
                <c:pt idx="20">
                  <c:v>85.3682553344175</c:v>
                </c:pt>
                <c:pt idx="21">
                  <c:v>85.2624730142743</c:v>
                </c:pt>
                <c:pt idx="22">
                  <c:v>85.1543747247906</c:v>
                </c:pt>
                <c:pt idx="23">
                  <c:v>85.0439168040176</c:v>
                </c:pt>
                <c:pt idx="24">
                  <c:v>84.9310552725556</c:v>
                </c:pt>
                <c:pt idx="25">
                  <c:v>84.8157458719658</c:v>
                </c:pt>
                <c:pt idx="26">
                  <c:v>84.6979441068691</c:v>
                </c:pt>
                <c:pt idx="27">
                  <c:v>84.5776052909545</c:v>
                </c:pt>
                <c:pt idx="28">
                  <c:v>84.4546845971419</c:v>
                </c:pt>
                <c:pt idx="29">
                  <c:v>84.329137112146</c:v>
                </c:pt>
                <c:pt idx="30">
                  <c:v>84.2009178957025</c:v>
                </c:pt>
                <c:pt idx="31">
                  <c:v>84.0699820447221</c:v>
                </c:pt>
                <c:pt idx="32">
                  <c:v>83.9362847626533</c:v>
                </c:pt>
                <c:pt idx="33">
                  <c:v>83.7997814343347</c:v>
                </c:pt>
                <c:pt idx="34">
                  <c:v>83.6604277066356</c:v>
                </c:pt>
                <c:pt idx="35">
                  <c:v>83.5181795751816</c:v>
                </c:pt>
                <c:pt idx="36">
                  <c:v>83.3729934774738</c:v>
                </c:pt>
                <c:pt idx="37">
                  <c:v>83.2248263927137</c:v>
                </c:pt>
                <c:pt idx="38">
                  <c:v>83.073635948651</c:v>
                </c:pt>
                <c:pt idx="39">
                  <c:v>82.9193805357692</c:v>
                </c:pt>
                <c:pt idx="40">
                  <c:v>82.7620194291338</c:v>
                </c:pt>
                <c:pt idx="41">
                  <c:v>82.6015129182173</c:v>
                </c:pt>
                <c:pt idx="42">
                  <c:v>82.4378224450161</c:v>
                </c:pt>
                <c:pt idx="43">
                  <c:v>82.2709107507712</c:v>
                </c:pt>
                <c:pt idx="44">
                  <c:v>82.1007420315883</c:v>
                </c:pt>
                <c:pt idx="45">
                  <c:v>81.9272821032482</c:v>
                </c:pt>
                <c:pt idx="46">
                  <c:v>81.7504985754792</c:v>
                </c:pt>
                <c:pt idx="47">
                  <c:v>81.5703610359434</c:v>
                </c:pt>
                <c:pt idx="48">
                  <c:v>81.3868412441658</c:v>
                </c:pt>
                <c:pt idx="49">
                  <c:v>81.1999133356069</c:v>
                </c:pt>
                <c:pt idx="50">
                  <c:v>81.009554036045</c:v>
                </c:pt>
                <c:pt idx="51">
                  <c:v>80.8157428863931</c:v>
                </c:pt>
                <c:pt idx="52">
                  <c:v>80.618462478034</c:v>
                </c:pt>
                <c:pt idx="53">
                  <c:v>80.4176986987003</c:v>
                </c:pt>
                <c:pt idx="54">
                  <c:v>80.2134409888693</c:v>
                </c:pt>
                <c:pt idx="55">
                  <c:v>80.0056826085781</c:v>
                </c:pt>
                <c:pt idx="56">
                  <c:v>79.7944209144855</c:v>
                </c:pt>
                <c:pt idx="57">
                  <c:v>79.5796576469282</c:v>
                </c:pt>
                <c:pt idx="58">
                  <c:v>79.3613992266285</c:v>
                </c:pt>
                <c:pt idx="59">
                  <c:v>79.1396570606085</c:v>
                </c:pt>
                <c:pt idx="60">
                  <c:v>78.914447856761</c:v>
                </c:pt>
                <c:pt idx="61">
                  <c:v>78.6857939464056</c:v>
                </c:pt>
                <c:pt idx="62">
                  <c:v>78.4537236140386</c:v>
                </c:pt>
                <c:pt idx="63">
                  <c:v>78.218271433344</c:v>
                </c:pt>
                <c:pt idx="64">
                  <c:v>77.9794786083943</c:v>
                </c:pt>
                <c:pt idx="65">
                  <c:v>77.7373933188155</c:v>
                </c:pt>
                <c:pt idx="66">
                  <c:v>77.4920710675351</c:v>
                </c:pt>
                <c:pt idx="67">
                  <c:v>77.2435750295616</c:v>
                </c:pt>
                <c:pt idx="68">
                  <c:v>76.9919764000788</c:v>
                </c:pt>
                <c:pt idx="69">
                  <c:v>76.7373547399585</c:v>
                </c:pt>
                <c:pt idx="70">
                  <c:v>76.4797983166185</c:v>
                </c:pt>
                <c:pt idx="71">
                  <c:v>76.2194044379759</c:v>
                </c:pt>
                <c:pt idx="72">
                  <c:v>75.956279777063</c:v>
                </c:pt>
                <c:pt idx="73">
                  <c:v>75.690540684701</c:v>
                </c:pt>
                <c:pt idx="74">
                  <c:v>75.4223134874595</c:v>
                </c:pt>
                <c:pt idx="75">
                  <c:v>75.1517347679625</c:v>
                </c:pt>
                <c:pt idx="76">
                  <c:v>74.8789516244595</c:v>
                </c:pt>
                <c:pt idx="77">
                  <c:v>74.6041219064408</c:v>
                </c:pt>
                <c:pt idx="78">
                  <c:v>74.3274144229622</c:v>
                </c:pt>
                <c:pt idx="79">
                  <c:v>74.0490091202488</c:v>
                </c:pt>
                <c:pt idx="80">
                  <c:v>73.7690972250753</c:v>
                </c:pt>
                <c:pt idx="81">
                  <c:v>73.4878813503877</c:v>
                </c:pt>
                <c:pt idx="82">
                  <c:v>73.2055755596078</c:v>
                </c:pt>
                <c:pt idx="83">
                  <c:v>72.9224053861071</c:v>
                </c:pt>
                <c:pt idx="84">
                  <c:v>72.6386078043867</c:v>
                </c:pt>
                <c:pt idx="85">
                  <c:v>72.354431149619</c:v>
                </c:pt>
                <c:pt idx="86">
                  <c:v>72.070134982352</c:v>
                </c:pt>
                <c:pt idx="87">
                  <c:v>71.7859898953827</c:v>
                </c:pt>
                <c:pt idx="88">
                  <c:v>71.5022772600414</c:v>
                </c:pt>
                <c:pt idx="89">
                  <c:v>71.2192889094394</c:v>
                </c:pt>
                <c:pt idx="90">
                  <c:v>70.9373267565585</c:v>
                </c:pt>
                <c:pt idx="91">
                  <c:v>70.6567023454672</c:v>
                </c:pt>
                <c:pt idx="92">
                  <c:v>70.3777363343742</c:v>
                </c:pt>
                <c:pt idx="93">
                  <c:v>70.1007579097172</c:v>
                </c:pt>
                <c:pt idx="94">
                  <c:v>69.8261041310004</c:v>
                </c:pt>
                <c:pt idx="95">
                  <c:v>69.5541192066545</c:v>
                </c:pt>
                <c:pt idx="96">
                  <c:v>69.2851537017735</c:v>
                </c:pt>
                <c:pt idx="97">
                  <c:v>69.0195636791957</c:v>
                </c:pt>
                <c:pt idx="98">
                  <c:v>68.7577097760196</c:v>
                </c:pt>
                <c:pt idx="99">
                  <c:v>68.4999562182831</c:v>
                </c:pt>
                <c:pt idx="100">
                  <c:v>68.2466697771706</c:v>
                </c:pt>
                <c:pt idx="101">
                  <c:v>67.9982186707408</c:v>
                </c:pt>
                <c:pt idx="102">
                  <c:v>67.7549714157821</c:v>
                </c:pt>
                <c:pt idx="103">
                  <c:v>67.5172956349962</c:v>
                </c:pt>
                <c:pt idx="104">
                  <c:v>67.2855568252566</c:v>
                </c:pt>
                <c:pt idx="105">
                  <c:v>67.060117093217</c:v>
                </c:pt>
                <c:pt idx="106">
                  <c:v>66.8413338650024</c:v>
                </c:pt>
                <c:pt idx="107">
                  <c:v>66.6295585771325</c:v>
                </c:pt>
                <c:pt idx="108">
                  <c:v>66.4251353561723</c:v>
                </c:pt>
                <c:pt idx="109">
                  <c:v>66.2283996948976</c:v>
                </c:pt>
                <c:pt idx="110">
                  <c:v>66.0396771329656</c:v>
                </c:pt>
                <c:pt idx="111">
                  <c:v>65.8592819502329</c:v>
                </c:pt>
                <c:pt idx="112">
                  <c:v>65.6875158809197</c:v>
                </c:pt>
                <c:pt idx="113">
                  <c:v>65.5246668568097</c:v>
                </c:pt>
                <c:pt idx="114">
                  <c:v>65.3710077876017</c:v>
                </c:pt>
                <c:pt idx="115">
                  <c:v>65.2267953863475</c:v>
                </c:pt>
                <c:pt idx="116">
                  <c:v>65.0922690477019</c:v>
                </c:pt>
                <c:pt idx="117">
                  <c:v>64.9676497864022</c:v>
                </c:pt>
                <c:pt idx="118">
                  <c:v>64.8531392430261</c:v>
                </c:pt>
                <c:pt idx="119">
                  <c:v>64.7489187636717</c:v>
                </c:pt>
                <c:pt idx="120">
                  <c:v>64.6551485597044</c:v>
                </c:pt>
                <c:pt idx="121">
                  <c:v>64.5719669532088</c:v>
                </c:pt>
                <c:pt idx="122">
                  <c:v>64.4994897131977</c:v>
                </c:pt>
                <c:pt idx="123">
                  <c:v>64.437809487031</c:v>
                </c:pt>
                <c:pt idx="124">
                  <c:v>64.3869953308465</c:v>
                </c:pt>
                <c:pt idx="125">
                  <c:v>64.3470923421434</c:v>
                </c:pt>
                <c:pt idx="126">
                  <c:v>64.3181213969579</c:v>
                </c:pt>
                <c:pt idx="127">
                  <c:v>64.3000789933639</c:v>
                </c:pt>
                <c:pt idx="128">
                  <c:v>64.2929372023143</c:v>
                </c:pt>
                <c:pt idx="129">
                  <c:v>64.2966437261015</c:v>
                </c:pt>
                <c:pt idx="130">
                  <c:v>64.311122063994</c:v>
                </c:pt>
                <c:pt idx="131">
                  <c:v>64.3362717838682</c:v>
                </c:pt>
                <c:pt idx="132">
                  <c:v>64.3719688979468</c:v>
                </c:pt>
                <c:pt idx="133">
                  <c:v>64.4180663400387</c:v>
                </c:pt>
                <c:pt idx="134">
                  <c:v>64.4743945409916</c:v>
                </c:pt>
                <c:pt idx="135">
                  <c:v>64.5407620984045</c:v>
                </c:pt>
                <c:pt idx="136">
                  <c:v>64.6169565360066</c:v>
                </c:pt>
                <c:pt idx="137">
                  <c:v>64.7027451475147</c:v>
                </c:pt>
                <c:pt idx="138">
                  <c:v>64.7978759192111</c:v>
                </c:pt>
                <c:pt idx="139">
                  <c:v>64.902078524976</c:v>
                </c:pt>
                <c:pt idx="140">
                  <c:v>65.0150653870317</c:v>
                </c:pt>
                <c:pt idx="141">
                  <c:v>65.1365327952623</c:v>
                </c:pt>
                <c:pt idx="142">
                  <c:v>65.266162077599</c:v>
                </c:pt>
                <c:pt idx="143">
                  <c:v>65.4036208137069</c:v>
                </c:pt>
                <c:pt idx="144">
                  <c:v>65.548564083965</c:v>
                </c:pt>
                <c:pt idx="145">
                  <c:v>65.7006357456078</c:v>
                </c:pt>
                <c:pt idx="146">
                  <c:v>65.8594697278179</c:v>
                </c:pt>
                <c:pt idx="147">
                  <c:v>66.024691337567</c:v>
                </c:pt>
                <c:pt idx="148">
                  <c:v>66.1959185680852</c:v>
                </c:pt>
                <c:pt idx="149">
                  <c:v>66.3727634019953</c:v>
                </c:pt>
                <c:pt idx="150">
                  <c:v>66.5548331013755</c:v>
                </c:pt>
                <c:pt idx="151">
                  <c:v>66.741731477316</c:v>
                </c:pt>
                <c:pt idx="152">
                  <c:v>66.933060131893</c:v>
                </c:pt>
                <c:pt idx="153">
                  <c:v>67.1284196659198</c:v>
                </c:pt>
                <c:pt idx="154">
                  <c:v>67.327410846296</c:v>
                </c:pt>
                <c:pt idx="155">
                  <c:v>67.529635727317</c:v>
                </c:pt>
                <c:pt idx="156">
                  <c:v>67.7346987208579</c:v>
                </c:pt>
                <c:pt idx="157">
                  <c:v>67.9422076109506</c:v>
                </c:pt>
                <c:pt idx="158">
                  <c:v>68.1517745088802</c:v>
                </c:pt>
                <c:pt idx="159">
                  <c:v>68.3630167455731</c:v>
                </c:pt>
                <c:pt idx="160">
                  <c:v>68.5755576986683</c:v>
                </c:pt>
                <c:pt idx="161">
                  <c:v>68.7890275523133</c:v>
                </c:pt>
                <c:pt idx="162">
                  <c:v>69.0030639883398</c:v>
                </c:pt>
                <c:pt idx="163">
                  <c:v>69.2173128080824</c:v>
                </c:pt>
                <c:pt idx="164">
                  <c:v>69.4314284846834</c:v>
                </c:pt>
                <c:pt idx="165">
                  <c:v>69.6450746462692</c:v>
                </c:pt>
                <c:pt idx="166">
                  <c:v>69.8579244909075</c:v>
                </c:pt>
                <c:pt idx="167">
                  <c:v>70.0696611347123</c:v>
                </c:pt>
                <c:pt idx="168">
                  <c:v>70.2799778949014</c:v>
                </c:pt>
                <c:pt idx="169">
                  <c:v>70.4885785099819</c:v>
                </c:pt>
                <c:pt idx="170">
                  <c:v>70.695177299586</c:v>
                </c:pt>
                <c:pt idx="171">
                  <c:v>70.8994992667475</c:v>
                </c:pt>
                <c:pt idx="172">
                  <c:v>71.1012801456576</c:v>
                </c:pt>
                <c:pt idx="173">
                  <c:v>71.3002663981217</c:v>
                </c:pt>
                <c:pt idx="174">
                  <c:v>71.4962151620811</c:v>
                </c:pt>
                <c:pt idx="175">
                  <c:v>71.688894155665</c:v>
                </c:pt>
                <c:pt idx="176">
                  <c:v>71.8780815402926</c:v>
                </c:pt>
                <c:pt idx="177">
                  <c:v>72.0635657463642</c:v>
                </c:pt>
                <c:pt idx="178">
                  <c:v>72.2451452650684</c:v>
                </c:pt>
                <c:pt idx="179">
                  <c:v>72.4226284097803</c:v>
                </c:pt>
                <c:pt idx="180">
                  <c:v>72.5958330504487</c:v>
                </c:pt>
                <c:pt idx="181">
                  <c:v>72.7645863242812</c:v>
                </c:pt>
                <c:pt idx="182">
                  <c:v>72.9287243258994</c:v>
                </c:pt>
                <c:pt idx="183">
                  <c:v>73.088091780011</c:v>
                </c:pt>
                <c:pt idx="184">
                  <c:v>73.2425416994908</c:v>
                </c:pt>
                <c:pt idx="185">
                  <c:v>73.3919350315912</c:v>
                </c:pt>
                <c:pt idx="186">
                  <c:v>73.5361402948487</c:v>
                </c:pt>
                <c:pt idx="187">
                  <c:v>73.6750332090578</c:v>
                </c:pt>
                <c:pt idx="188">
                  <c:v>73.8084963205214</c:v>
                </c:pt>
                <c:pt idx="189">
                  <c:v>73.9364186245994</c:v>
                </c:pt>
                <c:pt idx="190">
                  <c:v>74.0586951873966</c:v>
                </c:pt>
                <c:pt idx="191">
                  <c:v>74.1752267682711</c:v>
                </c:pt>
                <c:pt idx="192">
                  <c:v>74.2859194446552</c:v>
                </c:pt>
                <c:pt idx="193">
                  <c:v>74.3906842405315</c:v>
                </c:pt>
                <c:pt idx="194">
                  <c:v>74.4894367597475</c:v>
                </c:pt>
                <c:pt idx="195">
                  <c:v>74.582096825194</c:v>
                </c:pt>
                <c:pt idx="196">
                  <c:v>74.6685881247442</c:v>
                </c:pt>
                <c:pt idx="197">
                  <c:v>74.7488378647091</c:v>
                </c:pt>
                <c:pt idx="198">
                  <c:v>74.8227764314407</c:v>
                </c:pt>
                <c:pt idx="199">
                  <c:v>74.8903370616092</c:v>
                </c:pt>
                <c:pt idx="200">
                  <c:v>74.9514555215627</c:v>
                </c:pt>
                <c:pt idx="201">
                  <c:v>75.0060697960883</c:v>
                </c:pt>
                <c:pt idx="202">
                  <c:v>75.0541197868082</c:v>
                </c:pt>
                <c:pt idx="203">
                  <c:v>75.0955470203536</c:v>
                </c:pt>
                <c:pt idx="204">
                  <c:v>75.1302943664016</c:v>
                </c:pt>
                <c:pt idx="205">
                  <c:v>75.1583057655871</c:v>
                </c:pt>
                <c:pt idx="206">
                  <c:v>75.1795259672498</c:v>
                </c:pt>
                <c:pt idx="207">
                  <c:v>75.1939002769269</c:v>
                </c:pt>
                <c:pt idx="208">
                  <c:v>75.2013743134598</c:v>
                </c:pt>
                <c:pt idx="209">
                  <c:v>75.2018937755454</c:v>
                </c:pt>
                <c:pt idx="210">
                  <c:v>75.1954042175361</c:v>
                </c:pt>
                <c:pt idx="211">
                  <c:v>75.1818508342629</c:v>
                </c:pt>
                <c:pt idx="212">
                  <c:v>75.1611782546401</c:v>
                </c:pt>
                <c:pt idx="213">
                  <c:v>75.1333303437933</c:v>
                </c:pt>
                <c:pt idx="214">
                  <c:v>75.0982500134407</c:v>
                </c:pt>
                <c:pt idx="215">
                  <c:v>75.055879040252</c:v>
                </c:pt>
                <c:pt idx="216">
                  <c:v>75.0061578919056</c:v>
                </c:pt>
                <c:pt idx="217">
                  <c:v>74.9490255605615</c:v>
                </c:pt>
                <c:pt idx="218">
                  <c:v>74.8844194034784</c:v>
                </c:pt>
                <c:pt idx="219">
                  <c:v>74.812274990497</c:v>
                </c:pt>
                <c:pt idx="220">
                  <c:v>74.7325259581318</c:v>
                </c:pt>
                <c:pt idx="221">
                  <c:v>74.6451038700176</c:v>
                </c:pt>
                <c:pt idx="222">
                  <c:v>74.5499380834681</c:v>
                </c:pt>
                <c:pt idx="223">
                  <c:v>74.4469556219296</c:v>
                </c:pt>
                <c:pt idx="224">
                  <c:v>74.3360810531143</c:v>
                </c:pt>
                <c:pt idx="225">
                  <c:v>74.21723637263</c:v>
                </c:pt>
                <c:pt idx="226">
                  <c:v>74.0903408929392</c:v>
                </c:pt>
                <c:pt idx="227">
                  <c:v>73.9553111374977</c:v>
                </c:pt>
                <c:pt idx="228">
                  <c:v>73.8120607399571</c:v>
                </c:pt>
                <c:pt idx="229">
                  <c:v>73.6605003483332</c:v>
                </c:pt>
                <c:pt idx="230">
                  <c:v>73.5005375340749</c:v>
                </c:pt>
                <c:pt idx="231">
                  <c:v>73.3320767059948</c:v>
                </c:pt>
                <c:pt idx="232">
                  <c:v>73.155019029058</c:v>
                </c:pt>
                <c:pt idx="233">
                  <c:v>72.9692623480504</c:v>
                </c:pt>
                <c:pt idx="234">
                  <c:v>72.774701116196</c:v>
                </c:pt>
                <c:pt idx="235">
                  <c:v>72.5712263288157</c:v>
                </c:pt>
                <c:pt idx="236">
                  <c:v>72.3587254621712</c:v>
                </c:pt>
                <c:pt idx="237">
                  <c:v>72.1370824176679</c:v>
                </c:pt>
                <c:pt idx="238">
                  <c:v>71.9061774716445</c:v>
                </c:pt>
                <c:pt idx="239">
                  <c:v>71.6658872310152</c:v>
                </c:pt>
                <c:pt idx="240">
                  <c:v>71.4160845950813</c:v>
                </c:pt>
                <c:pt idx="241">
                  <c:v>71.1566387238793</c:v>
                </c:pt>
                <c:pt idx="242">
                  <c:v>70.8874150134851</c:v>
                </c:pt>
                <c:pt idx="243">
                  <c:v>70.6082750787488</c:v>
                </c:pt>
                <c:pt idx="244">
                  <c:v>70.3190767439927</c:v>
                </c:pt>
                <c:pt idx="245">
                  <c:v>70.0196740422642</c:v>
                </c:pt>
                <c:pt idx="246">
                  <c:v>69.7099172237978</c:v>
                </c:pt>
                <c:pt idx="247">
                  <c:v>69.3896527744055</c:v>
                </c:pt>
                <c:pt idx="248">
                  <c:v>69.0587234445785</c:v>
                </c:pt>
                <c:pt idx="249">
                  <c:v>68.716968290155</c:v>
                </c:pt>
                <c:pt idx="250">
                  <c:v>68.3642227254692</c:v>
                </c:pt>
                <c:pt idx="251">
                  <c:v>68.0003185899815</c:v>
                </c:pt>
                <c:pt idx="252">
                  <c:v>67.6250842294395</c:v>
                </c:pt>
                <c:pt idx="253">
                  <c:v>67.2383445927097</c:v>
                </c:pt>
                <c:pt idx="254">
                  <c:v>66.8399213454688</c:v>
                </c:pt>
                <c:pt idx="255">
                  <c:v>66.429633002029</c:v>
                </c:pt>
                <c:pt idx="256">
                  <c:v>66.0072950766163</c:v>
                </c:pt>
                <c:pt idx="257">
                  <c:v>65.5727202554938</c:v>
                </c:pt>
                <c:pt idx="258">
                  <c:v>65.1257185913699</c:v>
                </c:pt>
                <c:pt idx="259">
                  <c:v>64.6660977215749</c:v>
                </c:pt>
                <c:pt idx="260">
                  <c:v>64.1936631115346</c:v>
                </c:pt>
                <c:pt idx="261">
                  <c:v>63.7082183250893</c:v>
                </c:pt>
                <c:pt idx="262">
                  <c:v>63.2095653232256</c:v>
                </c:pt>
                <c:pt idx="263">
                  <c:v>62.697504792792</c:v>
                </c:pt>
                <c:pt idx="264">
                  <c:v>62.1718365067427</c:v>
                </c:pt>
                <c:pt idx="265">
                  <c:v>61.6323597174327</c:v>
                </c:pt>
                <c:pt idx="266">
                  <c:v>61.0788735844198</c:v>
                </c:pt>
                <c:pt idx="267">
                  <c:v>60.511177638159</c:v>
                </c:pt>
                <c:pt idx="268">
                  <c:v>59.9290722808585</c:v>
                </c:pt>
                <c:pt idx="269">
                  <c:v>59.3323593256462</c:v>
                </c:pt>
                <c:pt idx="270">
                  <c:v>58.7208425750183</c:v>
                </c:pt>
                <c:pt idx="271">
                  <c:v>58.0943284393528</c:v>
                </c:pt>
                <c:pt idx="272">
                  <c:v>57.4526265960399</c:v>
                </c:pt>
                <c:pt idx="273">
                  <c:v>56.7955506895107</c:v>
                </c:pt>
                <c:pt idx="274">
                  <c:v>56.1229190721478</c:v>
                </c:pt>
                <c:pt idx="275">
                  <c:v>55.4345555857172</c:v>
                </c:pt>
                <c:pt idx="276">
                  <c:v>54.7302903825924</c:v>
                </c:pt>
                <c:pt idx="277">
                  <c:v>54.0099607856159</c:v>
                </c:pt>
                <c:pt idx="278">
                  <c:v>53.2734121850151</c:v>
                </c:pt>
                <c:pt idx="279">
                  <c:v>52.520498970293</c:v>
                </c:pt>
                <c:pt idx="280">
                  <c:v>51.7510854945225</c:v>
                </c:pt>
                <c:pt idx="281">
                  <c:v>50.9650470679321</c:v>
                </c:pt>
                <c:pt idx="282">
                  <c:v>50.1622709771304</c:v>
                </c:pt>
                <c:pt idx="283">
                  <c:v>49.3426575257474</c:v>
                </c:pt>
                <c:pt idx="284">
                  <c:v>48.5061210917104</c:v>
                </c:pt>
                <c:pt idx="285">
                  <c:v>47.6525911958067</c:v>
                </c:pt>
                <c:pt idx="286">
                  <c:v>46.7820135756369</c:v>
                </c:pt>
                <c:pt idx="287">
                  <c:v>45.8943512585297</c:v>
                </c:pt>
                <c:pt idx="288">
                  <c:v>44.9895856265012</c:v>
                </c:pt>
                <c:pt idx="289">
                  <c:v>44.0677174658773</c:v>
                </c:pt>
                <c:pt idx="290">
                  <c:v>43.1287679938165</c:v>
                </c:pt>
                <c:pt idx="291">
                  <c:v>42.1727798536144</c:v>
                </c:pt>
                <c:pt idx="292">
                  <c:v>41.1998180704318</c:v>
                </c:pt>
                <c:pt idx="293">
                  <c:v>40.2099709589043</c:v>
                </c:pt>
                <c:pt idx="294">
                  <c:v>39.2033509740074</c:v>
                </c:pt>
                <c:pt idx="295">
                  <c:v>38.1800954965801</c:v>
                </c:pt>
                <c:pt idx="296">
                  <c:v>37.1403675450231</c:v>
                </c:pt>
                <c:pt idx="297">
                  <c:v>36.0843564049359</c:v>
                </c:pt>
                <c:pt idx="298">
                  <c:v>35.0122781687959</c:v>
                </c:pt>
                <c:pt idx="299">
                  <c:v>33.9243761782491</c:v>
                </c:pt>
                <c:pt idx="300">
                  <c:v>32.820921362149</c:v>
                </c:pt>
                <c:pt idx="301">
                  <c:v>31.7022124641598</c:v>
                </c:pt>
                <c:pt idx="302">
                  <c:v>30.5685761545164</c:v>
                </c:pt>
                <c:pt idx="303">
                  <c:v>29.4203670213839</c:v>
                </c:pt>
                <c:pt idx="304">
                  <c:v>28.2579674382254</c:v>
                </c:pt>
                <c:pt idx="305">
                  <c:v>27.0817873045672</c:v>
                </c:pt>
                <c:pt idx="306">
                  <c:v>25.8922636586342</c:v>
                </c:pt>
                <c:pt idx="307">
                  <c:v>24.6898601613985</c:v>
                </c:pt>
                <c:pt idx="308">
                  <c:v>23.47506645271</c:v>
                </c:pt>
                <c:pt idx="309">
                  <c:v>22.2483973812912</c:v>
                </c:pt>
                <c:pt idx="310">
                  <c:v>21.0103921114702</c:v>
                </c:pt>
                <c:pt idx="311">
                  <c:v>19.7616131106067</c:v>
                </c:pt>
                <c:pt idx="312">
                  <c:v>18.5026450221696</c:v>
                </c:pt>
                <c:pt idx="313">
                  <c:v>17.2340934304203</c:v>
                </c:pt>
                <c:pt idx="314">
                  <c:v>15.9565835234996</c:v>
                </c:pt>
                <c:pt idx="315">
                  <c:v>14.6707586625784</c:v>
                </c:pt>
                <c:pt idx="316">
                  <c:v>13.377278865391</c:v>
                </c:pt>
                <c:pt idx="317">
                  <c:v>12.0768192131297</c:v>
                </c:pt>
                <c:pt idx="318">
                  <c:v>10.7700681901726</c:v>
                </c:pt>
                <c:pt idx="319">
                  <c:v>9.45772596651603</c:v>
                </c:pt>
                <c:pt idx="320">
                  <c:v>8.14050263309117</c:v>
                </c:pt>
                <c:pt idx="321">
                  <c:v>6.81911640034401</c:v>
                </c:pt>
                <c:pt idx="322">
                  <c:v>5.49429177053035</c:v>
                </c:pt>
                <c:pt idx="323">
                  <c:v>4.16675769417779</c:v>
                </c:pt>
                <c:pt idx="324">
                  <c:v>2.83724572106715</c:v>
                </c:pt>
                <c:pt idx="325">
                  <c:v>1.50648815589217</c:v>
                </c:pt>
                <c:pt idx="326">
                  <c:v>0.175216228491514</c:v>
                </c:pt>
                <c:pt idx="327">
                  <c:v>-1.15584171180485</c:v>
                </c:pt>
                <c:pt idx="328">
                  <c:v>-2.48596196857327</c:v>
                </c:pt>
                <c:pt idx="329">
                  <c:v>-3.8144272287533</c:v>
                </c:pt>
                <c:pt idx="330">
                  <c:v>-5.14052824301034</c:v>
                </c:pt>
                <c:pt idx="331">
                  <c:v>-6.46356544840544</c:v>
                </c:pt>
                <c:pt idx="332">
                  <c:v>-7.78285052635009</c:v>
                </c:pt>
                <c:pt idx="333">
                  <c:v>-9.09770788947726</c:v>
                </c:pt>
                <c:pt idx="334">
                  <c:v>-10.4074760916747</c:v>
                </c:pt>
                <c:pt idx="335">
                  <c:v>-11.7115091562194</c:v>
                </c:pt>
                <c:pt idx="336">
                  <c:v>-13.0091778176031</c:v>
                </c:pt>
                <c:pt idx="337">
                  <c:v>-14.2998706733438</c:v>
                </c:pt>
                <c:pt idx="338">
                  <c:v>-15.5829952427383</c:v>
                </c:pt>
                <c:pt idx="339">
                  <c:v>-16.8579789302117</c:v>
                </c:pt>
                <c:pt idx="340">
                  <c:v>-18.1242698915789</c:v>
                </c:pt>
                <c:pt idx="341">
                  <c:v>-19.3813378022006</c:v>
                </c:pt>
                <c:pt idx="342">
                  <c:v>-20.628674526649</c:v>
                </c:pt>
                <c:pt idx="343">
                  <c:v>-21.8657946901316</c:v>
                </c:pt>
                <c:pt idx="344">
                  <c:v>-23.0922361525118</c:v>
                </c:pt>
                <c:pt idx="345">
                  <c:v>-24.3075603863284</c:v>
                </c:pt>
                <c:pt idx="346">
                  <c:v>-25.5113527607584</c:v>
                </c:pt>
                <c:pt idx="347">
                  <c:v>-26.7032227339641</c:v>
                </c:pt>
                <c:pt idx="348">
                  <c:v>-27.882803956716</c:v>
                </c:pt>
                <c:pt idx="349">
                  <c:v>-29.0497542906162</c:v>
                </c:pt>
                <c:pt idx="350">
                  <c:v>-30.2037557446082</c:v>
                </c:pt>
                <c:pt idx="351">
                  <c:v>-31.344514333793</c:v>
                </c:pt>
                <c:pt idx="352">
                  <c:v>-32.4717598648582</c:v>
                </c:pt>
                <c:pt idx="353">
                  <c:v>-33.585245652644</c:v>
                </c:pt>
                <c:pt idx="354">
                  <c:v>-34.6847481725887</c:v>
                </c:pt>
                <c:pt idx="355">
                  <c:v>-35.7700666538993</c:v>
                </c:pt>
                <c:pt idx="356">
                  <c:v>-36.8410226184247</c:v>
                </c:pt>
                <c:pt idx="357">
                  <c:v>-37.8974593702264</c:v>
                </c:pt>
                <c:pt idx="358">
                  <c:v>-38.9392414408849</c:v>
                </c:pt>
                <c:pt idx="359">
                  <c:v>-39.9662539955106</c:v>
                </c:pt>
                <c:pt idx="360">
                  <c:v>-40.9784022043965</c:v>
                </c:pt>
                <c:pt idx="361">
                  <c:v>-41.9756105851188</c:v>
                </c:pt>
                <c:pt idx="362">
                  <c:v>-42.9578223197825</c:v>
                </c:pt>
                <c:pt idx="363">
                  <c:v>-43.9249985519224</c:v>
                </c:pt>
                <c:pt idx="364">
                  <c:v>-44.8771176674161</c:v>
                </c:pt>
                <c:pt idx="365">
                  <c:v>-45.8141745635308</c:v>
                </c:pt>
                <c:pt idx="366">
                  <c:v>-46.736179910034</c:v>
                </c:pt>
                <c:pt idx="367">
                  <c:v>-47.6431594060404</c:v>
                </c:pt>
                <c:pt idx="368">
                  <c:v>-48.5351530360362</c:v>
                </c:pt>
                <c:pt idx="369">
                  <c:v>-49.4122143282711</c:v>
                </c:pt>
                <c:pt idx="370">
                  <c:v>-50.274409618451</c:v>
                </c:pt>
                <c:pt idx="371">
                  <c:v>-51.1218173214108</c:v>
                </c:pt>
                <c:pt idx="372">
                  <c:v>-51.954527213194</c:v>
                </c:pt>
                <c:pt idx="373">
                  <c:v>-52.7726397257204</c:v>
                </c:pt>
                <c:pt idx="374">
                  <c:v>-53.57626525597</c:v>
                </c:pt>
                <c:pt idx="375">
                  <c:v>-54.3655234913864</c:v>
                </c:pt>
                <c:pt idx="376">
                  <c:v>-55.1405427529721</c:v>
                </c:pt>
                <c:pt idx="377">
                  <c:v>-55.9014593573285</c:v>
                </c:pt>
                <c:pt idx="378">
                  <c:v>-56.6484169986931</c:v>
                </c:pt>
                <c:pt idx="379">
                  <c:v>-57.3815661518316</c:v>
                </c:pt>
                <c:pt idx="380">
                  <c:v>-58.1010634964587</c:v>
                </c:pt>
                <c:pt idx="381">
                  <c:v>-58.8070713636971</c:v>
                </c:pt>
                <c:pt idx="382">
                  <c:v>-59.4997572049262</c:v>
                </c:pt>
                <c:pt idx="383">
                  <c:v>-60.1792930832304</c:v>
                </c:pt>
                <c:pt idx="384">
                  <c:v>-60.8458551875257</c:v>
                </c:pt>
                <c:pt idx="385">
                  <c:v>-61.499623369326</c:v>
                </c:pt>
                <c:pt idx="386">
                  <c:v>-62.1407807020066</c:v>
                </c:pt>
                <c:pt idx="387">
                  <c:v>-62.7695130623233</c:v>
                </c:pt>
                <c:pt idx="388">
                  <c:v>-63.3860087338697</c:v>
                </c:pt>
                <c:pt idx="389">
                  <c:v>-63.9904580320737</c:v>
                </c:pt>
                <c:pt idx="390">
                  <c:v>-64.5830529502806</c:v>
                </c:pt>
                <c:pt idx="391">
                  <c:v>-65.1639868264083</c:v>
                </c:pt>
                <c:pt idx="392">
                  <c:v>-65.7334540296203</c:v>
                </c:pt>
                <c:pt idx="393">
                  <c:v>-66.2916496664252</c:v>
                </c:pt>
                <c:pt idx="394">
                  <c:v>-66.8387693055764</c:v>
                </c:pt>
                <c:pt idx="395">
                  <c:v>-67.37500872113</c:v>
                </c:pt>
                <c:pt idx="396">
                  <c:v>-67.9005636529959</c:v>
                </c:pt>
                <c:pt idx="397">
                  <c:v>-68.4156295843109</c:v>
                </c:pt>
                <c:pt idx="398">
                  <c:v>-68.9204015349491</c:v>
                </c:pt>
                <c:pt idx="399">
                  <c:v>-69.4150738704923</c:v>
                </c:pt>
                <c:pt idx="400">
                  <c:v>-69.8998401259767</c:v>
                </c:pt>
                <c:pt idx="401">
                  <c:v>-70.3748928437419</c:v>
                </c:pt>
                <c:pt idx="402">
                  <c:v>-70.8404234247133</c:v>
                </c:pt>
                <c:pt idx="403">
                  <c:v>-71.2966219924673</c:v>
                </c:pt>
                <c:pt idx="404">
                  <c:v>-71.7436772694298</c:v>
                </c:pt>
                <c:pt idx="405">
                  <c:v>-72.1817764645852</c:v>
                </c:pt>
                <c:pt idx="406">
                  <c:v>-72.6111051720843</c:v>
                </c:pt>
                <c:pt idx="407">
                  <c:v>-73.0318472801539</c:v>
                </c:pt>
                <c:pt idx="408">
                  <c:v>-73.444184889739</c:v>
                </c:pt>
                <c:pt idx="409">
                  <c:v>-73.8482982423195</c:v>
                </c:pt>
                <c:pt idx="410">
                  <c:v>-74.2443656563669</c:v>
                </c:pt>
                <c:pt idx="411">
                  <c:v>-74.6325634719275</c:v>
                </c:pt>
                <c:pt idx="412">
                  <c:v>-75.0130660028397</c:v>
                </c:pt>
                <c:pt idx="413">
                  <c:v>-75.3860454961098</c:v>
                </c:pt>
                <c:pt idx="414">
                  <c:v>-75.7516720979965</c:v>
                </c:pt>
                <c:pt idx="415">
                  <c:v>-76.1101138263733</c:v>
                </c:pt>
                <c:pt idx="416">
                  <c:v>-76.4615365489548</c:v>
                </c:pt>
                <c:pt idx="417">
                  <c:v>-76.8061039669996</c:v>
                </c:pt>
                <c:pt idx="418">
                  <c:v>-77.1439776041133</c:v>
                </c:pt>
                <c:pt idx="419">
                  <c:v>-77.4753167998037</c:v>
                </c:pt>
                <c:pt idx="420">
                  <c:v>-77.8002787074494</c:v>
                </c:pt>
                <c:pt idx="421">
                  <c:v>-78.1190182963698</c:v>
                </c:pt>
                <c:pt idx="422">
                  <c:v>-78.4316883576936</c:v>
                </c:pt>
                <c:pt idx="423">
                  <c:v>-78.7384395137459</c:v>
                </c:pt>
                <c:pt idx="424">
                  <c:v>-79.0394202306874</c:v>
                </c:pt>
                <c:pt idx="425">
                  <c:v>-79.3347768341537</c:v>
                </c:pt>
                <c:pt idx="426">
                  <c:v>-79.6246535276605</c:v>
                </c:pt>
                <c:pt idx="427">
                  <c:v>-79.9091924135521</c:v>
                </c:pt>
                <c:pt idx="428">
                  <c:v>-80.1885335162851</c:v>
                </c:pt>
                <c:pt idx="429">
                  <c:v>-80.4628148078534</c:v>
                </c:pt>
                <c:pt idx="430">
                  <c:v>-80.7321722351685</c:v>
                </c:pt>
                <c:pt idx="431">
                  <c:v>-80.9967397492293</c:v>
                </c:pt>
                <c:pt idx="432">
                  <c:v>-81.2566493359159</c:v>
                </c:pt>
                <c:pt idx="433">
                  <c:v>-81.5120310482632</c:v>
                </c:pt>
                <c:pt idx="434">
                  <c:v>-81.7630130400702</c:v>
                </c:pt>
                <c:pt idx="435">
                  <c:v>-82.00972160072</c:v>
                </c:pt>
                <c:pt idx="436">
                  <c:v>-82.2522811910863</c:v>
                </c:pt>
                <c:pt idx="437">
                  <c:v>-82.4908144804157</c:v>
                </c:pt>
                <c:pt idx="438">
                  <c:v>-82.7254423840817</c:v>
                </c:pt>
                <c:pt idx="439">
                  <c:v>-82.9562841021131</c:v>
                </c:pt>
                <c:pt idx="440">
                  <c:v>-83.183457158407</c:v>
                </c:pt>
                <c:pt idx="441">
                  <c:v>-83.4070774405459</c:v>
                </c:pt>
                <c:pt idx="442">
                  <c:v>-83.6272592401378</c:v>
                </c:pt>
                <c:pt idx="443">
                  <c:v>-83.8441152936148</c:v>
                </c:pt>
                <c:pt idx="444">
                  <c:v>-84.0577568234181</c:v>
                </c:pt>
                <c:pt idx="445">
                  <c:v>-84.268293579516</c:v>
                </c:pt>
                <c:pt idx="446">
                  <c:v>-84.4758338811951</c:v>
                </c:pt>
                <c:pt idx="447">
                  <c:v>-84.6804846590772</c:v>
                </c:pt>
                <c:pt idx="448">
                  <c:v>-84.8823514973129</c:v>
                </c:pt>
                <c:pt idx="449">
                  <c:v>-85.0815386759121</c:v>
                </c:pt>
                <c:pt idx="450">
                  <c:v>-85.2781492131706</c:v>
                </c:pt>
                <c:pt idx="451">
                  <c:v>-85.4722849081595</c:v>
                </c:pt>
                <c:pt idx="452">
                  <c:v>-85.6640463832423</c:v>
                </c:pt>
                <c:pt idx="453">
                  <c:v>-85.8535331265937</c:v>
                </c:pt>
                <c:pt idx="454">
                  <c:v>-86.0408435346919</c:v>
                </c:pt>
                <c:pt idx="455">
                  <c:v>-86.2260749547589</c:v>
                </c:pt>
                <c:pt idx="456">
                  <c:v>-86.4093237271305</c:v>
                </c:pt>
                <c:pt idx="457">
                  <c:v>-86.5906852275328</c:v>
                </c:pt>
                <c:pt idx="458">
                  <c:v>-86.7702539092488</c:v>
                </c:pt>
                <c:pt idx="459">
                  <c:v>-86.9481233451596</c:v>
                </c:pt>
                <c:pt idx="460">
                  <c:v>-87.1243862696437</c:v>
                </c:pt>
                <c:pt idx="461">
                  <c:v>-87.2991346203226</c:v>
                </c:pt>
                <c:pt idx="462">
                  <c:v>-87.4724595796404</c:v>
                </c:pt>
                <c:pt idx="463">
                  <c:v>-87.6444516162653</c:v>
                </c:pt>
                <c:pt idx="464">
                  <c:v>-87.8152005263044</c:v>
                </c:pt>
                <c:pt idx="465">
                  <c:v>-87.9847954743209</c:v>
                </c:pt>
                <c:pt idx="466">
                  <c:v>-88.1533250341467</c:v>
                </c:pt>
                <c:pt idx="467">
                  <c:v>-88.3208772294793</c:v>
                </c:pt>
                <c:pt idx="468">
                  <c:v>-88.4875395742589</c:v>
                </c:pt>
                <c:pt idx="469">
                  <c:v>-88.6533991128142</c:v>
                </c:pt>
                <c:pt idx="470">
                  <c:v>-88.8185424597713</c:v>
                </c:pt>
                <c:pt idx="471">
                  <c:v>-88.9830558397181</c:v>
                </c:pt>
                <c:pt idx="472">
                  <c:v>-89.1470251266145</c:v>
                </c:pt>
                <c:pt idx="473">
                  <c:v>-89.3105358829423</c:v>
                </c:pt>
                <c:pt idx="474">
                  <c:v>-89.4736733985852</c:v>
                </c:pt>
                <c:pt idx="475">
                  <c:v>-89.6365227294285</c:v>
                </c:pt>
                <c:pt idx="476">
                  <c:v>-89.799168735671</c:v>
                </c:pt>
                <c:pt idx="477">
                  <c:v>-89.9616961198355</c:v>
                </c:pt>
                <c:pt idx="478">
                  <c:v>-90.124189464469</c:v>
                </c:pt>
                <c:pt idx="479">
                  <c:v>-90.2867332695164</c:v>
                </c:pt>
                <c:pt idx="480">
                  <c:v>-90.4494119893568</c:v>
                </c:pt>
                <c:pt idx="481">
                  <c:v>-90.612310069484</c:v>
                </c:pt>
                <c:pt idx="482">
                  <c:v>-90.7755119828156</c:v>
                </c:pt>
                <c:pt idx="483">
                  <c:v>-90.9391022656118</c:v>
                </c:pt>
                <c:pt idx="484">
                  <c:v>-91.1031655529812</c:v>
                </c:pt>
                <c:pt idx="485">
                  <c:v>-91.267786613954</c:v>
                </c:pt>
                <c:pt idx="486">
                  <c:v>-91.4330503860933</c:v>
                </c:pt>
                <c:pt idx="487">
                  <c:v>-91.5990420096214</c:v>
                </c:pt>
                <c:pt idx="488">
                  <c:v>-91.7658468610264</c:v>
                </c:pt>
                <c:pt idx="489">
                  <c:v>-91.93355058612</c:v>
                </c:pt>
                <c:pt idx="490">
                  <c:v>-92.1022391325081</c:v>
                </c:pt>
                <c:pt idx="491">
                  <c:v>-92.271998781435</c:v>
                </c:pt>
                <c:pt idx="492">
                  <c:v>-92.4429161789602</c:v>
                </c:pt>
                <c:pt idx="493">
                  <c:v>-92.6150783664191</c:v>
                </c:pt>
                <c:pt idx="494">
                  <c:v>-92.7885728101186</c:v>
                </c:pt>
                <c:pt idx="495">
                  <c:v>-92.963487430213</c:v>
                </c:pt>
                <c:pt idx="496">
                  <c:v>-93.1399106287001</c:v>
                </c:pt>
                <c:pt idx="497">
                  <c:v>-93.3179313164751</c:v>
                </c:pt>
                <c:pt idx="498">
                  <c:v>-93.4976389393721</c:v>
                </c:pt>
                <c:pt idx="499">
                  <c:v>-93.6791235031208</c:v>
                </c:pt>
                <c:pt idx="500">
                  <c:v>-93.8624755971365</c:v>
                </c:pt>
                <c:pt idx="501">
                  <c:v>-94.0477864170593</c:v>
                </c:pt>
                <c:pt idx="502">
                  <c:v>-94.2351477859514</c:v>
                </c:pt>
                <c:pt idx="503">
                  <c:v>-94.4246521740507</c:v>
                </c:pt>
                <c:pt idx="504">
                  <c:v>-94.6163927169787</c:v>
                </c:pt>
                <c:pt idx="505">
                  <c:v>-94.8104632322897</c:v>
                </c:pt>
                <c:pt idx="506">
                  <c:v>-95.0069582342374</c:v>
                </c:pt>
                <c:pt idx="507">
                  <c:v>-95.2059729466365</c:v>
                </c:pt>
                <c:pt idx="508">
                  <c:v>-95.4076033136774</c:v>
                </c:pt>
                <c:pt idx="509">
                  <c:v>-95.6119460085524</c:v>
                </c:pt>
                <c:pt idx="510">
                  <c:v>-95.8190984397369</c:v>
                </c:pt>
                <c:pt idx="511">
                  <c:v>-96.0291587547637</c:v>
                </c:pt>
                <c:pt idx="512">
                  <c:v>-96.2422258413153</c:v>
                </c:pt>
                <c:pt idx="513">
                  <c:v>-96.4583993254525</c:v>
                </c:pt>
                <c:pt idx="514">
                  <c:v>-96.6777795667852</c:v>
                </c:pt>
                <c:pt idx="515">
                  <c:v>-96.9004676503792</c:v>
                </c:pt>
                <c:pt idx="516">
                  <c:v>-97.1265653751862</c:v>
                </c:pt>
                <c:pt idx="517">
                  <c:v>-97.3561752387697</c:v>
                </c:pt>
                <c:pt idx="518">
                  <c:v>-97.5894004180886</c:v>
                </c:pt>
                <c:pt idx="519">
                  <c:v>-97.8263447460888</c:v>
                </c:pt>
                <c:pt idx="520">
                  <c:v>-98.0671126838442</c:v>
                </c:pt>
                <c:pt idx="521">
                  <c:v>-98.3118092879725</c:v>
                </c:pt>
                <c:pt idx="522">
                  <c:v>-98.5605401730423</c:v>
                </c:pt>
                <c:pt idx="523">
                  <c:v>-98.8134114686779</c:v>
                </c:pt>
                <c:pt idx="524">
                  <c:v>-99.0705297710536</c:v>
                </c:pt>
                <c:pt idx="525">
                  <c:v>-99.3320020884607</c:v>
                </c:pt>
                <c:pt idx="526">
                  <c:v>-99.5979357806203</c:v>
                </c:pt>
                <c:pt idx="527">
                  <c:v>-99.8684384914046</c:v>
                </c:pt>
                <c:pt idx="528">
                  <c:v>-100.14361807462</c:v>
                </c:pt>
                <c:pt idx="529">
                  <c:v>-100.423582512498</c:v>
                </c:pt>
                <c:pt idx="530">
                  <c:v>-100.708439826538</c:v>
                </c:pt>
                <c:pt idx="531">
                  <c:v>-100.998297980323</c:v>
                </c:pt>
                <c:pt idx="532">
                  <c:v>-101.293264773953</c:v>
                </c:pt>
                <c:pt idx="533">
                  <c:v>-101.593447729719</c:v>
                </c:pt>
                <c:pt idx="534">
                  <c:v>-101.898953968639</c:v>
                </c:pt>
                <c:pt idx="535">
                  <c:v>-102.209890077497</c:v>
                </c:pt>
                <c:pt idx="536">
                  <c:v>-102.526361966013</c:v>
                </c:pt>
                <c:pt idx="537">
                  <c:v>-102.848474713799</c:v>
                </c:pt>
                <c:pt idx="538">
                  <c:v>-103.176332406744</c:v>
                </c:pt>
                <c:pt idx="539">
                  <c:v>-103.510037962508</c:v>
                </c:pt>
                <c:pt idx="540">
                  <c:v>-103.849692944825</c:v>
                </c:pt>
                <c:pt idx="541">
                  <c:v>-104.195397366313</c:v>
                </c:pt>
              </c:numCache>
            </c:numRef>
          </c:yVal>
          <c:smooth val="1"/>
        </c:ser>
        <c:dLbls>
          <c:showLegendKey val="0"/>
          <c:showVal val="0"/>
          <c:showCatName val="0"/>
          <c:showSerName val="0"/>
          <c:showPercent val="0"/>
          <c:showBubbleSize val="0"/>
        </c:dLbls>
        <c:axId val="175150592"/>
        <c:axId val="175127936"/>
      </c:scatterChart>
      <c:valAx>
        <c:axId val="174189952"/>
        <c:scaling>
          <c:logBase val="10"/>
          <c:orientation val="minMax"/>
          <c:max val="2000000"/>
          <c:min val="10"/>
        </c:scaling>
        <c:delete val="0"/>
        <c:axPos val="b"/>
        <c:minorGridlines/>
        <c:title>
          <c:tx>
            <c:rich>
              <a:bodyPr rot="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Frequency</a:t>
                </a:r>
                <a:r>
                  <a:rPr lang="en-US" baseline="0"/>
                  <a:t> (Hz)</a:t>
                </a:r>
                <a:endParaRPr lang="en-US"/>
              </a:p>
            </c:rich>
          </c:tx>
          <c:layout/>
          <c:overlay val="0"/>
        </c:title>
        <c:numFmt formatCode="0" sourceLinked="0"/>
        <c:majorTickMark val="out"/>
        <c:minorTickMark val="none"/>
        <c:tickLblPos val="low"/>
        <c:txPr>
          <a:bodyPr rot="-60000000" spcFirstLastPara="0" vertOverflow="ellipsis" vert="horz" wrap="square" anchor="ctr" anchorCtr="1"/>
          <a:lstStyle/>
          <a:p>
            <a:pPr>
              <a:defRPr lang="pl-PL" sz="1000" b="1" i="0" u="none" strike="noStrike" kern="1200" baseline="0">
                <a:solidFill>
                  <a:schemeClr val="tx1"/>
                </a:solidFill>
                <a:latin typeface="+mn-lt"/>
                <a:ea typeface="+mn-ea"/>
                <a:cs typeface="+mn-cs"/>
              </a:defRPr>
            </a:pPr>
          </a:p>
        </c:txPr>
        <c:crossAx val="175126016"/>
        <c:crosses val="autoZero"/>
        <c:crossBetween val="midCat"/>
      </c:valAx>
      <c:valAx>
        <c:axId val="175126016"/>
        <c:scaling>
          <c:orientation val="minMax"/>
          <c:max val="40"/>
          <c:min val="-40"/>
        </c:scaling>
        <c:delete val="0"/>
        <c:axPos val="l"/>
        <c:majorGridlines/>
        <c:minorGridlines/>
        <c:title>
          <c:tx>
            <c:rich>
              <a:bodyPr rot="-540000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solidFill>
                      <a:srgbClr val="FF0000"/>
                    </a:solidFill>
                  </a:rPr>
                  <a:t>Gain</a:t>
                </a:r>
                <a:r>
                  <a:rPr lang="en-US" baseline="0">
                    <a:solidFill>
                      <a:srgbClr val="FF0000"/>
                    </a:solidFill>
                  </a:rPr>
                  <a:t> (dB)</a:t>
                </a:r>
                <a:endParaRPr lang="en-US">
                  <a:solidFill>
                    <a:srgbClr val="FF0000"/>
                  </a:solidFill>
                </a:endParaRPr>
              </a:p>
            </c:rich>
          </c:tx>
          <c:layout/>
          <c:overlay val="0"/>
        </c:title>
        <c:numFmt formatCode="General" sourceLinked="0"/>
        <c:majorTickMark val="out"/>
        <c:minorTickMark val="none"/>
        <c:tickLblPos val="nextTo"/>
        <c:txPr>
          <a:bodyPr rot="-60000000" spcFirstLastPara="0" vertOverflow="ellipsis" vert="horz" wrap="square" anchor="ctr" anchorCtr="1"/>
          <a:lstStyle/>
          <a:p>
            <a:pPr>
              <a:defRPr lang="pl-PL" sz="1000" b="1" i="0" u="none" strike="noStrike" kern="1200" baseline="0">
                <a:solidFill>
                  <a:srgbClr val="FF0000"/>
                </a:solidFill>
                <a:latin typeface="+mn-lt"/>
                <a:ea typeface="+mn-ea"/>
                <a:cs typeface="+mn-cs"/>
              </a:defRPr>
            </a:pPr>
          </a:p>
        </c:txPr>
        <c:crossAx val="174189952"/>
        <c:crosses val="autoZero"/>
        <c:crossBetween val="midCat"/>
        <c:majorUnit val="20"/>
        <c:minorUnit val="10"/>
      </c:valAx>
      <c:valAx>
        <c:axId val="175150592"/>
        <c:scaling>
          <c:logBase val="10"/>
          <c:orientation val="minMax"/>
        </c:scaling>
        <c:delete val="1"/>
        <c:axPos val="b"/>
        <c:numFmt formatCode="0.00"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127936"/>
        <c:crosses val="autoZero"/>
        <c:crossBetween val="midCat"/>
      </c:valAx>
      <c:valAx>
        <c:axId val="175127936"/>
        <c:scaling>
          <c:orientation val="minMax"/>
          <c:max val="180"/>
          <c:min val="-180"/>
        </c:scaling>
        <c:delete val="0"/>
        <c:axPos val="r"/>
        <c:title>
          <c:tx>
            <c:rich>
              <a:bodyPr rot="-540000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Phase (deg)</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pl-PL" sz="1000" b="1" i="0" u="none" strike="noStrike" kern="1200" baseline="0">
                <a:solidFill>
                  <a:schemeClr val="tx1">
                    <a:lumMod val="95000"/>
                    <a:lumOff val="5000"/>
                  </a:schemeClr>
                </a:solidFill>
                <a:latin typeface="+mn-lt"/>
                <a:ea typeface="+mn-ea"/>
                <a:cs typeface="+mn-cs"/>
              </a:defRPr>
            </a:pPr>
          </a:p>
        </c:txPr>
        <c:crossAx val="175150592"/>
        <c:crosses val="max"/>
        <c:crossBetween val="midCat"/>
        <c:majorUnit val="90"/>
        <c:minorUnit val="45"/>
      </c:valAx>
    </c:plotArea>
    <c:legend>
      <c:legendPos val="r"/>
      <c:legendEntry>
        <c:idx val="1"/>
        <c:delete val="1"/>
      </c:legendEntry>
      <c:legendEntry>
        <c:idx val="2"/>
        <c:delete val="1"/>
      </c:legendEntry>
      <c:legendEntry>
        <c:idx val="3"/>
        <c:delete val="1"/>
      </c:legendEntry>
      <c:legendEntry>
        <c:idx val="4"/>
        <c:delete val="1"/>
      </c:legendEntry>
      <c:legendEntry>
        <c:idx val="5"/>
        <c:delete val="1"/>
      </c:legendEntry>
      <c:layout>
        <c:manualLayout>
          <c:xMode val="edge"/>
          <c:yMode val="edge"/>
          <c:x val="0.613925365103712"/>
          <c:y val="0.00703810127999403"/>
          <c:w val="0.284975005846066"/>
          <c:h val="0.0796438656068465"/>
        </c:manualLayout>
      </c:layout>
      <c:overlay val="1"/>
      <c:txPr>
        <a:bodyPr rot="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4a1fb8a-f823-47d5-a6fb-4a0156a917a1}"/>
      </c:ext>
    </c:extLst>
  </c:chart>
  <c:spPr>
    <a:ln w="9525" cap="flat" cmpd="sng" algn="ctr">
      <a:noFill/>
      <a:prstDash val="solid"/>
      <a:round/>
    </a:ln>
  </c:spPr>
  <c:txPr>
    <a:bodyPr/>
    <a:lstStyle/>
    <a:p>
      <a:pPr>
        <a:defRPr lang="pl-PL"/>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lgn="l">
              <a:defRPr lang="pl-PL" sz="2400" b="1" i="0" u="none" strike="noStrike" kern="1200" baseline="0">
                <a:solidFill>
                  <a:schemeClr val="tx1"/>
                </a:solidFill>
                <a:latin typeface="+mn-lt"/>
                <a:ea typeface="+mn-ea"/>
                <a:cs typeface="+mn-cs"/>
              </a:defRPr>
            </a:pPr>
            <a:r>
              <a:rPr lang="el-GR" sz="2400"/>
              <a:t>η</a:t>
            </a:r>
            <a:endParaRPr lang="en-US" sz="2400"/>
          </a:p>
        </c:rich>
      </c:tx>
      <c:layout>
        <c:manualLayout>
          <c:xMode val="edge"/>
          <c:yMode val="edge"/>
          <c:x val="0.0923218382951588"/>
          <c:y val="0.00670690811535882"/>
        </c:manualLayout>
      </c:layout>
      <c:overlay val="1"/>
    </c:title>
    <c:autoTitleDeleted val="0"/>
    <c:plotArea>
      <c:layout>
        <c:manualLayout>
          <c:layoutTarget val="inner"/>
          <c:xMode val="edge"/>
          <c:yMode val="edge"/>
          <c:x val="0.0943435758165804"/>
          <c:y val="0.127775049245605"/>
          <c:w val="0.821706919227287"/>
          <c:h val="0.749827708676531"/>
        </c:manualLayout>
      </c:layout>
      <c:scatterChart>
        <c:scatterStyle val="smooth"/>
        <c:varyColors val="0"/>
        <c:ser>
          <c:idx val="0"/>
          <c:order val="0"/>
          <c:tx>
            <c:strRef>
              <c:f>"Eff"</c:f>
              <c:strCache>
                <c:ptCount val="1"/>
                <c:pt idx="0">
                  <c:v>Eff</c:v>
                </c:pt>
              </c:strCache>
            </c:strRef>
          </c:tx>
          <c:spPr>
            <a:ln w="28575" cap="rnd" cmpd="sng" algn="ctr">
              <a:solidFill>
                <a:srgbClr val="FF0000"/>
              </a:solidFill>
              <a:prstDash val="solid"/>
              <a:round/>
            </a:ln>
          </c:spPr>
          <c:marker>
            <c:symbol val="none"/>
          </c:marker>
          <c:dLbls>
            <c:delete val="1"/>
          </c:dLbls>
          <c:xVal>
            <c:numRef>
              <c:f>Eff_vs_IOUT!$S$7:$S$157</c:f>
              <c:numCache>
                <c:formatCode>General</c:formatCode>
                <c:ptCount val="151"/>
                <c:pt idx="0">
                  <c:v>0</c:v>
                </c:pt>
                <c:pt idx="1">
                  <c:v>0.00666666666666667</c:v>
                </c:pt>
                <c:pt idx="2">
                  <c:v>0.0133333333333333</c:v>
                </c:pt>
                <c:pt idx="3">
                  <c:v>0.02</c:v>
                </c:pt>
                <c:pt idx="4">
                  <c:v>0.0266666666666667</c:v>
                </c:pt>
                <c:pt idx="5">
                  <c:v>0.0333333333333333</c:v>
                </c:pt>
                <c:pt idx="6">
                  <c:v>0.04</c:v>
                </c:pt>
                <c:pt idx="7">
                  <c:v>0.0466666666666667</c:v>
                </c:pt>
                <c:pt idx="8">
                  <c:v>0.0533333333333333</c:v>
                </c:pt>
                <c:pt idx="9">
                  <c:v>0.06</c:v>
                </c:pt>
                <c:pt idx="10">
                  <c:v>0.0666666666666667</c:v>
                </c:pt>
                <c:pt idx="11">
                  <c:v>0.0733333333333333</c:v>
                </c:pt>
                <c:pt idx="12">
                  <c:v>0.08</c:v>
                </c:pt>
                <c:pt idx="13">
                  <c:v>0.0866666666666667</c:v>
                </c:pt>
                <c:pt idx="14">
                  <c:v>0.0933333333333333</c:v>
                </c:pt>
                <c:pt idx="15">
                  <c:v>0.1</c:v>
                </c:pt>
                <c:pt idx="16">
                  <c:v>0.106666666666667</c:v>
                </c:pt>
                <c:pt idx="17">
                  <c:v>0.113333333333333</c:v>
                </c:pt>
                <c:pt idx="18">
                  <c:v>0.12</c:v>
                </c:pt>
                <c:pt idx="19">
                  <c:v>0.126666666666667</c:v>
                </c:pt>
                <c:pt idx="20">
                  <c:v>0.133333333333333</c:v>
                </c:pt>
                <c:pt idx="21">
                  <c:v>0.14</c:v>
                </c:pt>
                <c:pt idx="22">
                  <c:v>0.146666666666667</c:v>
                </c:pt>
                <c:pt idx="23">
                  <c:v>0.153333333333333</c:v>
                </c:pt>
                <c:pt idx="24">
                  <c:v>0.16</c:v>
                </c:pt>
                <c:pt idx="25">
                  <c:v>0.166666666666667</c:v>
                </c:pt>
                <c:pt idx="26">
                  <c:v>0.173333333333333</c:v>
                </c:pt>
                <c:pt idx="27">
                  <c:v>0.18</c:v>
                </c:pt>
                <c:pt idx="28">
                  <c:v>0.186666666666667</c:v>
                </c:pt>
                <c:pt idx="29">
                  <c:v>0.193333333333333</c:v>
                </c:pt>
                <c:pt idx="30">
                  <c:v>0.2</c:v>
                </c:pt>
                <c:pt idx="31">
                  <c:v>0.206666666666667</c:v>
                </c:pt>
                <c:pt idx="32">
                  <c:v>0.213333333333333</c:v>
                </c:pt>
                <c:pt idx="33">
                  <c:v>0.22</c:v>
                </c:pt>
                <c:pt idx="34">
                  <c:v>0.226666666666667</c:v>
                </c:pt>
                <c:pt idx="35">
                  <c:v>0.233333333333333</c:v>
                </c:pt>
                <c:pt idx="36">
                  <c:v>0.24</c:v>
                </c:pt>
                <c:pt idx="37">
                  <c:v>0.246666666666667</c:v>
                </c:pt>
                <c:pt idx="38">
                  <c:v>0.253333333333333</c:v>
                </c:pt>
                <c:pt idx="39">
                  <c:v>0.26</c:v>
                </c:pt>
                <c:pt idx="40">
                  <c:v>0.266666666666667</c:v>
                </c:pt>
                <c:pt idx="41">
                  <c:v>0.273333333333333</c:v>
                </c:pt>
                <c:pt idx="42">
                  <c:v>0.28</c:v>
                </c:pt>
                <c:pt idx="43">
                  <c:v>0.286666666666667</c:v>
                </c:pt>
                <c:pt idx="44">
                  <c:v>0.293333333333333</c:v>
                </c:pt>
                <c:pt idx="45">
                  <c:v>0.3</c:v>
                </c:pt>
                <c:pt idx="46">
                  <c:v>0.306666666666667</c:v>
                </c:pt>
                <c:pt idx="47">
                  <c:v>0.313333333333333</c:v>
                </c:pt>
                <c:pt idx="48">
                  <c:v>0.32</c:v>
                </c:pt>
                <c:pt idx="49">
                  <c:v>0.326666666666667</c:v>
                </c:pt>
                <c:pt idx="50">
                  <c:v>0.333333333333333</c:v>
                </c:pt>
                <c:pt idx="51">
                  <c:v>0.34</c:v>
                </c:pt>
                <c:pt idx="52">
                  <c:v>0.346666666666667</c:v>
                </c:pt>
                <c:pt idx="53">
                  <c:v>0.353333333333333</c:v>
                </c:pt>
                <c:pt idx="54">
                  <c:v>0.36</c:v>
                </c:pt>
                <c:pt idx="55">
                  <c:v>0.366666666666667</c:v>
                </c:pt>
                <c:pt idx="56">
                  <c:v>0.373333333333333</c:v>
                </c:pt>
                <c:pt idx="57">
                  <c:v>0.38</c:v>
                </c:pt>
                <c:pt idx="58">
                  <c:v>0.386666666666667</c:v>
                </c:pt>
                <c:pt idx="59">
                  <c:v>0.393333333333333</c:v>
                </c:pt>
                <c:pt idx="60">
                  <c:v>0.4</c:v>
                </c:pt>
                <c:pt idx="61">
                  <c:v>0.406666666666667</c:v>
                </c:pt>
                <c:pt idx="62">
                  <c:v>0.413333333333333</c:v>
                </c:pt>
                <c:pt idx="63">
                  <c:v>0.42</c:v>
                </c:pt>
                <c:pt idx="64">
                  <c:v>0.426666666666667</c:v>
                </c:pt>
                <c:pt idx="65">
                  <c:v>0.433333333333333</c:v>
                </c:pt>
                <c:pt idx="66">
                  <c:v>0.44</c:v>
                </c:pt>
                <c:pt idx="67">
                  <c:v>0.446666666666667</c:v>
                </c:pt>
                <c:pt idx="68">
                  <c:v>0.453333333333333</c:v>
                </c:pt>
                <c:pt idx="69">
                  <c:v>0.46</c:v>
                </c:pt>
                <c:pt idx="70">
                  <c:v>0.466666666666667</c:v>
                </c:pt>
                <c:pt idx="71">
                  <c:v>0.473333333333333</c:v>
                </c:pt>
                <c:pt idx="72">
                  <c:v>0.48</c:v>
                </c:pt>
                <c:pt idx="73">
                  <c:v>0.486666666666667</c:v>
                </c:pt>
                <c:pt idx="74">
                  <c:v>0.493333333333333</c:v>
                </c:pt>
                <c:pt idx="75">
                  <c:v>0.5</c:v>
                </c:pt>
                <c:pt idx="76">
                  <c:v>0.506666666666667</c:v>
                </c:pt>
                <c:pt idx="77">
                  <c:v>0.513333333333333</c:v>
                </c:pt>
                <c:pt idx="78">
                  <c:v>0.52</c:v>
                </c:pt>
                <c:pt idx="79">
                  <c:v>0.526666666666667</c:v>
                </c:pt>
                <c:pt idx="80">
                  <c:v>0.533333333333333</c:v>
                </c:pt>
                <c:pt idx="81">
                  <c:v>0.54</c:v>
                </c:pt>
                <c:pt idx="82">
                  <c:v>0.546666666666667</c:v>
                </c:pt>
                <c:pt idx="83">
                  <c:v>0.553333333333333</c:v>
                </c:pt>
                <c:pt idx="84">
                  <c:v>0.56</c:v>
                </c:pt>
                <c:pt idx="85">
                  <c:v>0.566666666666667</c:v>
                </c:pt>
                <c:pt idx="86">
                  <c:v>0.573333333333333</c:v>
                </c:pt>
                <c:pt idx="87">
                  <c:v>0.58</c:v>
                </c:pt>
                <c:pt idx="88">
                  <c:v>0.586666666666667</c:v>
                </c:pt>
                <c:pt idx="89">
                  <c:v>0.593333333333333</c:v>
                </c:pt>
                <c:pt idx="90">
                  <c:v>0.6</c:v>
                </c:pt>
                <c:pt idx="91">
                  <c:v>0.606666666666667</c:v>
                </c:pt>
                <c:pt idx="92">
                  <c:v>0.613333333333333</c:v>
                </c:pt>
                <c:pt idx="93">
                  <c:v>0.62</c:v>
                </c:pt>
                <c:pt idx="94">
                  <c:v>0.626666666666667</c:v>
                </c:pt>
                <c:pt idx="95">
                  <c:v>0.633333333333333</c:v>
                </c:pt>
                <c:pt idx="96">
                  <c:v>0.64</c:v>
                </c:pt>
                <c:pt idx="97">
                  <c:v>0.646666666666667</c:v>
                </c:pt>
                <c:pt idx="98">
                  <c:v>0.653333333333333</c:v>
                </c:pt>
                <c:pt idx="99">
                  <c:v>0.66</c:v>
                </c:pt>
                <c:pt idx="100">
                  <c:v>0.666666666666667</c:v>
                </c:pt>
                <c:pt idx="101">
                  <c:v>0.673333333333333</c:v>
                </c:pt>
                <c:pt idx="102">
                  <c:v>0.68</c:v>
                </c:pt>
                <c:pt idx="103">
                  <c:v>0.686666666666667</c:v>
                </c:pt>
                <c:pt idx="104">
                  <c:v>0.693333333333333</c:v>
                </c:pt>
                <c:pt idx="105">
                  <c:v>0.7</c:v>
                </c:pt>
                <c:pt idx="106">
                  <c:v>0.706666666666667</c:v>
                </c:pt>
                <c:pt idx="107">
                  <c:v>0.713333333333333</c:v>
                </c:pt>
                <c:pt idx="108">
                  <c:v>0.72</c:v>
                </c:pt>
                <c:pt idx="109">
                  <c:v>0.726666666666667</c:v>
                </c:pt>
                <c:pt idx="110">
                  <c:v>0.733333333333333</c:v>
                </c:pt>
                <c:pt idx="111">
                  <c:v>0.74</c:v>
                </c:pt>
                <c:pt idx="112">
                  <c:v>0.746666666666667</c:v>
                </c:pt>
                <c:pt idx="113">
                  <c:v>0.753333333333333</c:v>
                </c:pt>
                <c:pt idx="114">
                  <c:v>0.76</c:v>
                </c:pt>
                <c:pt idx="115">
                  <c:v>0.766666666666667</c:v>
                </c:pt>
                <c:pt idx="116">
                  <c:v>0.773333333333333</c:v>
                </c:pt>
                <c:pt idx="117">
                  <c:v>0.78</c:v>
                </c:pt>
                <c:pt idx="118">
                  <c:v>0.786666666666667</c:v>
                </c:pt>
                <c:pt idx="119">
                  <c:v>0.793333333333333</c:v>
                </c:pt>
                <c:pt idx="120">
                  <c:v>0.8</c:v>
                </c:pt>
                <c:pt idx="121">
                  <c:v>0.806666666666667</c:v>
                </c:pt>
                <c:pt idx="122">
                  <c:v>0.813333333333333</c:v>
                </c:pt>
                <c:pt idx="123">
                  <c:v>0.82</c:v>
                </c:pt>
                <c:pt idx="124">
                  <c:v>0.826666666666667</c:v>
                </c:pt>
                <c:pt idx="125">
                  <c:v>0.833333333333333</c:v>
                </c:pt>
                <c:pt idx="126">
                  <c:v>0.84</c:v>
                </c:pt>
                <c:pt idx="127">
                  <c:v>0.846666666666667</c:v>
                </c:pt>
                <c:pt idx="128">
                  <c:v>0.853333333333333</c:v>
                </c:pt>
                <c:pt idx="129">
                  <c:v>0.86</c:v>
                </c:pt>
                <c:pt idx="130">
                  <c:v>0.866666666666667</c:v>
                </c:pt>
                <c:pt idx="131">
                  <c:v>0.873333333333333</c:v>
                </c:pt>
                <c:pt idx="132">
                  <c:v>0.88</c:v>
                </c:pt>
                <c:pt idx="133">
                  <c:v>0.886666666666667</c:v>
                </c:pt>
                <c:pt idx="134">
                  <c:v>0.893333333333333</c:v>
                </c:pt>
                <c:pt idx="135">
                  <c:v>0.9</c:v>
                </c:pt>
                <c:pt idx="136">
                  <c:v>0.906666666666667</c:v>
                </c:pt>
                <c:pt idx="137">
                  <c:v>0.913333333333333</c:v>
                </c:pt>
                <c:pt idx="138">
                  <c:v>0.92</c:v>
                </c:pt>
                <c:pt idx="139">
                  <c:v>0.926666666666667</c:v>
                </c:pt>
                <c:pt idx="140">
                  <c:v>0.933333333333333</c:v>
                </c:pt>
                <c:pt idx="141">
                  <c:v>0.94</c:v>
                </c:pt>
                <c:pt idx="142">
                  <c:v>0.946666666666667</c:v>
                </c:pt>
                <c:pt idx="143">
                  <c:v>0.953333333333333</c:v>
                </c:pt>
                <c:pt idx="144">
                  <c:v>0.96</c:v>
                </c:pt>
                <c:pt idx="145">
                  <c:v>0.966666666666667</c:v>
                </c:pt>
                <c:pt idx="146">
                  <c:v>0.973333333333333</c:v>
                </c:pt>
                <c:pt idx="147">
                  <c:v>0.98</c:v>
                </c:pt>
                <c:pt idx="148">
                  <c:v>0.986666666666667</c:v>
                </c:pt>
                <c:pt idx="149">
                  <c:v>0.993333333333333</c:v>
                </c:pt>
                <c:pt idx="150">
                  <c:v>1</c:v>
                </c:pt>
              </c:numCache>
            </c:numRef>
          </c:xVal>
          <c:yVal>
            <c:numRef>
              <c:f>Eff_vs_IOUT!$AT$7:$AT$157</c:f>
              <c:numCache>
                <c:formatCode>General</c:formatCode>
                <c:ptCount val="151"/>
                <c:pt idx="0">
                  <c:v>0</c:v>
                </c:pt>
                <c:pt idx="1">
                  <c:v>26.6295933058595</c:v>
                </c:pt>
                <c:pt idx="2">
                  <c:v>41.3029430327581</c:v>
                </c:pt>
                <c:pt idx="3">
                  <c:v>50.5868882588673</c:v>
                </c:pt>
                <c:pt idx="4">
                  <c:v>56.9835290519853</c:v>
                </c:pt>
                <c:pt idx="5">
                  <c:v>61.6536125280416</c:v>
                </c:pt>
                <c:pt idx="6">
                  <c:v>65.2091322967527</c:v>
                </c:pt>
                <c:pt idx="7">
                  <c:v>68.0033293544474</c:v>
                </c:pt>
                <c:pt idx="8">
                  <c:v>70.4499014125131</c:v>
                </c:pt>
                <c:pt idx="9">
                  <c:v>72.3392129390186</c:v>
                </c:pt>
                <c:pt idx="10">
                  <c:v>73.9246803412143</c:v>
                </c:pt>
                <c:pt idx="11">
                  <c:v>75.2740063178721</c:v>
                </c:pt>
                <c:pt idx="12">
                  <c:v>76.4361701778326</c:v>
                </c:pt>
                <c:pt idx="13">
                  <c:v>77.4474817940528</c:v>
                </c:pt>
                <c:pt idx="14">
                  <c:v>78.3354292752837</c:v>
                </c:pt>
                <c:pt idx="15">
                  <c:v>79.1212046991973</c:v>
                </c:pt>
                <c:pt idx="16">
                  <c:v>79.8214090814333</c:v>
                </c:pt>
                <c:pt idx="17">
                  <c:v>80.4492317622651</c:v>
                </c:pt>
                <c:pt idx="18">
                  <c:v>81.0152839957817</c:v>
                </c:pt>
                <c:pt idx="19">
                  <c:v>81.5281995168546</c:v>
                </c:pt>
                <c:pt idx="20">
                  <c:v>81.9950746986149</c:v>
                </c:pt>
                <c:pt idx="21">
                  <c:v>82.4217961557705</c:v>
                </c:pt>
                <c:pt idx="22">
                  <c:v>82.8132879997206</c:v>
                </c:pt>
                <c:pt idx="23">
                  <c:v>83.173700833219</c:v>
                </c:pt>
                <c:pt idx="24">
                  <c:v>83.50655789521</c:v>
                </c:pt>
                <c:pt idx="25">
                  <c:v>83.8148692774524</c:v>
                </c:pt>
                <c:pt idx="26">
                  <c:v>84.1012220649329</c:v>
                </c:pt>
                <c:pt idx="27">
                  <c:v>84.3678521200907</c:v>
                </c:pt>
                <c:pt idx="28">
                  <c:v>84.6167017287616</c:v>
                </c:pt>
                <c:pt idx="29">
                  <c:v>84.849466253298</c:v>
                </c:pt>
                <c:pt idx="30">
                  <c:v>85.0676321631931</c:v>
                </c:pt>
                <c:pt idx="31">
                  <c:v>85.2725082468756</c:v>
                </c:pt>
                <c:pt idx="32">
                  <c:v>85.4652513896591</c:v>
                </c:pt>
                <c:pt idx="33">
                  <c:v>85.6468879904052</c:v>
                </c:pt>
                <c:pt idx="34">
                  <c:v>85.81833185414</c:v>
                </c:pt>
                <c:pt idx="35">
                  <c:v>85.9803992190836</c:v>
                </c:pt>
                <c:pt idx="36">
                  <c:v>86.1338214395998</c:v>
                </c:pt>
                <c:pt idx="37">
                  <c:v>86.2792557408523</c:v>
                </c:pt>
                <c:pt idx="38">
                  <c:v>86.4172943787518</c:v>
                </c:pt>
                <c:pt idx="39">
                  <c:v>86.5484724744168</c:v>
                </c:pt>
                <c:pt idx="40">
                  <c:v>86.6732747416492</c:v>
                </c:pt>
                <c:pt idx="41">
                  <c:v>86.7921412857077</c:v>
                </c:pt>
                <c:pt idx="42">
                  <c:v>86.9054726195886</c:v>
                </c:pt>
                <c:pt idx="43">
                  <c:v>87.0136340182904</c:v>
                </c:pt>
                <c:pt idx="44">
                  <c:v>87.116959310801</c:v>
                </c:pt>
                <c:pt idx="45">
                  <c:v>87.21575419273</c:v>
                </c:pt>
                <c:pt idx="46">
                  <c:v>87.310299128826</c:v>
                </c:pt>
                <c:pt idx="47">
                  <c:v>87.4008519034145</c:v>
                </c:pt>
                <c:pt idx="48">
                  <c:v>87.4876498675972</c:v>
                </c:pt>
                <c:pt idx="49">
                  <c:v>87.5709119244561</c:v>
                </c:pt>
                <c:pt idx="50">
                  <c:v>87.6508402872217</c:v>
                </c:pt>
                <c:pt idx="51">
                  <c:v>87.7276220401287</c:v>
                </c:pt>
                <c:pt idx="52">
                  <c:v>87.801430527321</c:v>
                </c:pt>
                <c:pt idx="53">
                  <c:v>87.8724265915059</c:v>
                </c:pt>
                <c:pt idx="54">
                  <c:v>87.9407596809862</c:v>
                </c:pt>
                <c:pt idx="55">
                  <c:v>88.0065688411025</c:v>
                </c:pt>
                <c:pt idx="56">
                  <c:v>88.0699836039262</c:v>
                </c:pt>
                <c:pt idx="57">
                  <c:v>88.1311247881813</c:v>
                </c:pt>
                <c:pt idx="58">
                  <c:v>88.1901052197868</c:v>
                </c:pt>
                <c:pt idx="59">
                  <c:v>88.2470303820615</c:v>
                </c:pt>
                <c:pt idx="60">
                  <c:v>88.301999003473</c:v>
                </c:pt>
                <c:pt idx="61">
                  <c:v>88.3551035898189</c:v>
                </c:pt>
                <c:pt idx="62">
                  <c:v>88.4064309068758</c:v>
                </c:pt>
                <c:pt idx="63">
                  <c:v>88.4560624188111</c:v>
                </c:pt>
                <c:pt idx="64">
                  <c:v>88.5040746870177</c:v>
                </c:pt>
                <c:pt idx="65">
                  <c:v>88.5505397334775</c:v>
                </c:pt>
                <c:pt idx="66">
                  <c:v>88.5955253722804</c:v>
                </c:pt>
                <c:pt idx="67">
                  <c:v>88.6390955125087</c:v>
                </c:pt>
                <c:pt idx="68">
                  <c:v>88.6813104353299</c:v>
                </c:pt>
                <c:pt idx="69">
                  <c:v>88.7222270478258</c:v>
                </c:pt>
                <c:pt idx="70">
                  <c:v>88.7618991158046</c:v>
                </c:pt>
                <c:pt idx="71">
                  <c:v>88.8003774775983</c:v>
                </c:pt>
                <c:pt idx="72">
                  <c:v>88.8377102406329</c:v>
                </c:pt>
                <c:pt idx="73">
                  <c:v>88.8739429623704</c:v>
                </c:pt>
                <c:pt idx="74">
                  <c:v>88.9091188170518</c:v>
                </c:pt>
                <c:pt idx="75">
                  <c:v>88.9432787495253</c:v>
                </c:pt>
                <c:pt idx="76">
                  <c:v>88.9764616173113</c:v>
                </c:pt>
                <c:pt idx="77">
                  <c:v>89.0087043219409</c:v>
                </c:pt>
                <c:pt idx="78">
                  <c:v>89.0400419305004</c:v>
                </c:pt>
                <c:pt idx="79">
                  <c:v>89.0705077882244</c:v>
                </c:pt>
                <c:pt idx="80">
                  <c:v>89.1001336228957</c:v>
                </c:pt>
                <c:pt idx="81">
                  <c:v>89.1289496417412</c:v>
                </c:pt>
                <c:pt idx="82">
                  <c:v>89.1569846214441</c:v>
                </c:pt>
                <c:pt idx="83">
                  <c:v>89.1842659918369</c:v>
                </c:pt>
                <c:pt idx="84">
                  <c:v>89.2108199137864</c:v>
                </c:pt>
                <c:pt idx="85">
                  <c:v>89.2366713517367</c:v>
                </c:pt>
                <c:pt idx="86">
                  <c:v>89.2618441413306</c:v>
                </c:pt>
                <c:pt idx="87">
                  <c:v>89.2863610524971</c:v>
                </c:pt>
                <c:pt idx="88">
                  <c:v>89.3102438483544</c:v>
                </c:pt>
                <c:pt idx="89">
                  <c:v>89.3335133402483</c:v>
                </c:pt>
                <c:pt idx="90">
                  <c:v>89.3561894392194</c:v>
                </c:pt>
                <c:pt idx="91">
                  <c:v>89.3782912041669</c:v>
                </c:pt>
                <c:pt idx="92">
                  <c:v>89.3998368869526</c:v>
                </c:pt>
                <c:pt idx="93">
                  <c:v>89.4208439746699</c:v>
                </c:pt>
                <c:pt idx="94">
                  <c:v>89.4413292292841</c:v>
                </c:pt>
                <c:pt idx="95">
                  <c:v>89.4613087248327</c:v>
                </c:pt>
                <c:pt idx="96">
                  <c:v>89.480797882358</c:v>
                </c:pt>
                <c:pt idx="97">
                  <c:v>89.4998115027328</c:v>
                </c:pt>
                <c:pt idx="98">
                  <c:v>89.5183637975262</c:v>
                </c:pt>
                <c:pt idx="99">
                  <c:v>89.5364684180432</c:v>
                </c:pt>
                <c:pt idx="100">
                  <c:v>89.5541384826648</c:v>
                </c:pt>
                <c:pt idx="101">
                  <c:v>89.5713866026017</c:v>
                </c:pt>
                <c:pt idx="102">
                  <c:v>89.5882249061695</c:v>
                </c:pt>
                <c:pt idx="103">
                  <c:v>89.6046650616826</c:v>
                </c:pt>
                <c:pt idx="104">
                  <c:v>89.6207182990576</c:v>
                </c:pt>
                <c:pt idx="105">
                  <c:v>89.6363954302111</c:v>
                </c:pt>
                <c:pt idx="106">
                  <c:v>89.6517068683286</c:v>
                </c:pt>
                <c:pt idx="107">
                  <c:v>89.6666626460773</c:v>
                </c:pt>
                <c:pt idx="108">
                  <c:v>89.6812724328302</c:v>
                </c:pt>
                <c:pt idx="109">
                  <c:v>89.6955455509623</c:v>
                </c:pt>
                <c:pt idx="110">
                  <c:v>89.7094909912776</c:v>
                </c:pt>
                <c:pt idx="111">
                  <c:v>89.7231174276207</c:v>
                </c:pt>
                <c:pt idx="112">
                  <c:v>89.7364332307222</c:v>
                </c:pt>
                <c:pt idx="113">
                  <c:v>89.7494464813242</c:v>
                </c:pt>
                <c:pt idx="114">
                  <c:v>89.7621649826307</c:v>
                </c:pt>
                <c:pt idx="115">
                  <c:v>89.7745962721207</c:v>
                </c:pt>
                <c:pt idx="116">
                  <c:v>89.7867476327642</c:v>
                </c:pt>
                <c:pt idx="117">
                  <c:v>89.7986261036741</c:v>
                </c:pt>
                <c:pt idx="118">
                  <c:v>89.8102384902277</c:v>
                </c:pt>
                <c:pt idx="119">
                  <c:v>89.8215913736885</c:v>
                </c:pt>
                <c:pt idx="120">
                  <c:v>89.8326911203564</c:v>
                </c:pt>
                <c:pt idx="121">
                  <c:v>89.843543890273</c:v>
                </c:pt>
                <c:pt idx="122">
                  <c:v>89.8541556455078</c:v>
                </c:pt>
                <c:pt idx="123">
                  <c:v>89.8645321580478</c:v>
                </c:pt>
                <c:pt idx="124">
                  <c:v>89.8746790173122</c:v>
                </c:pt>
                <c:pt idx="125">
                  <c:v>89.8846016373149</c:v>
                </c:pt>
                <c:pt idx="126">
                  <c:v>89.8943052634908</c:v>
                </c:pt>
                <c:pt idx="127">
                  <c:v>89.9037949792069</c:v>
                </c:pt>
                <c:pt idx="128">
                  <c:v>89.913075711973</c:v>
                </c:pt>
                <c:pt idx="129">
                  <c:v>89.9221522393701</c:v>
                </c:pt>
                <c:pt idx="130">
                  <c:v>89.9310291947094</c:v>
                </c:pt>
                <c:pt idx="131">
                  <c:v>89.9397110724367</c:v>
                </c:pt>
                <c:pt idx="132">
                  <c:v>89.9482022332968</c:v>
                </c:pt>
                <c:pt idx="133">
                  <c:v>89.9565069092679</c:v>
                </c:pt>
                <c:pt idx="134">
                  <c:v>89.9646292082799</c:v>
                </c:pt>
                <c:pt idx="135">
                  <c:v>89.9725731187261</c:v>
                </c:pt>
                <c:pt idx="136">
                  <c:v>89.98034251378</c:v>
                </c:pt>
                <c:pt idx="137">
                  <c:v>89.9879411555262</c:v>
                </c:pt>
                <c:pt idx="138">
                  <c:v>89.9953726989143</c:v>
                </c:pt>
                <c:pt idx="139">
                  <c:v>90.0026406955462</c:v>
                </c:pt>
                <c:pt idx="140">
                  <c:v>90.0097485973026</c:v>
                </c:pt>
                <c:pt idx="141">
                  <c:v>90.016699759819</c:v>
                </c:pt>
                <c:pt idx="142">
                  <c:v>90.0234974458166</c:v>
                </c:pt>
                <c:pt idx="143">
                  <c:v>90.0301448282959</c:v>
                </c:pt>
                <c:pt idx="144">
                  <c:v>90.0366449936</c:v>
                </c:pt>
                <c:pt idx="145">
                  <c:v>90.0430009443525</c:v>
                </c:pt>
                <c:pt idx="146">
                  <c:v>90.0492156022769</c:v>
                </c:pt>
                <c:pt idx="147">
                  <c:v>90.0552918109035</c:v>
                </c:pt>
                <c:pt idx="148">
                  <c:v>90.0612323381674</c:v>
                </c:pt>
                <c:pt idx="149">
                  <c:v>90.067039878904</c:v>
                </c:pt>
                <c:pt idx="150">
                  <c:v>90.0727170572463</c:v>
                </c:pt>
              </c:numCache>
            </c:numRef>
          </c:yVal>
          <c:smooth val="0"/>
        </c:ser>
        <c:dLbls>
          <c:showLegendKey val="0"/>
          <c:showVal val="0"/>
          <c:showCatName val="0"/>
          <c:showSerName val="0"/>
          <c:showPercent val="0"/>
          <c:showBubbleSize val="0"/>
        </c:dLbls>
        <c:axId val="174861312"/>
        <c:axId val="174875392"/>
      </c:scatterChart>
      <c:scatterChart>
        <c:scatterStyle val="smooth"/>
        <c:varyColors val="0"/>
        <c:ser>
          <c:idx val="1"/>
          <c:order val="1"/>
          <c:tx>
            <c:strRef>
              <c:f>"MOSFET"</c:f>
              <c:strCache>
                <c:ptCount val="1"/>
                <c:pt idx="0">
                  <c:v>MOSFET</c:v>
                </c:pt>
              </c:strCache>
            </c:strRef>
          </c:tx>
          <c:spPr>
            <a:ln w="28575" cap="rnd" cmpd="sng" algn="ctr">
              <a:solidFill>
                <a:schemeClr val="tx2">
                  <a:lumMod val="75000"/>
                </a:schemeClr>
              </a:solidFill>
              <a:prstDash val="dashDot"/>
              <a:round/>
            </a:ln>
          </c:spPr>
          <c:marker>
            <c:symbol val="none"/>
          </c:marker>
          <c:dLbls>
            <c:delete val="1"/>
          </c:dLbls>
          <c:xVal>
            <c:numRef>
              <c:f>Eff_vs_IOUT!$S$7:$S$157</c:f>
              <c:numCache>
                <c:formatCode>General</c:formatCode>
                <c:ptCount val="151"/>
                <c:pt idx="0">
                  <c:v>0</c:v>
                </c:pt>
                <c:pt idx="1">
                  <c:v>0.00666666666666667</c:v>
                </c:pt>
                <c:pt idx="2">
                  <c:v>0.0133333333333333</c:v>
                </c:pt>
                <c:pt idx="3">
                  <c:v>0.02</c:v>
                </c:pt>
                <c:pt idx="4">
                  <c:v>0.0266666666666667</c:v>
                </c:pt>
                <c:pt idx="5">
                  <c:v>0.0333333333333333</c:v>
                </c:pt>
                <c:pt idx="6">
                  <c:v>0.04</c:v>
                </c:pt>
                <c:pt idx="7">
                  <c:v>0.0466666666666667</c:v>
                </c:pt>
                <c:pt idx="8">
                  <c:v>0.0533333333333333</c:v>
                </c:pt>
                <c:pt idx="9">
                  <c:v>0.06</c:v>
                </c:pt>
                <c:pt idx="10">
                  <c:v>0.0666666666666667</c:v>
                </c:pt>
                <c:pt idx="11">
                  <c:v>0.0733333333333333</c:v>
                </c:pt>
                <c:pt idx="12">
                  <c:v>0.08</c:v>
                </c:pt>
                <c:pt idx="13">
                  <c:v>0.0866666666666667</c:v>
                </c:pt>
                <c:pt idx="14">
                  <c:v>0.0933333333333333</c:v>
                </c:pt>
                <c:pt idx="15">
                  <c:v>0.1</c:v>
                </c:pt>
                <c:pt idx="16">
                  <c:v>0.106666666666667</c:v>
                </c:pt>
                <c:pt idx="17">
                  <c:v>0.113333333333333</c:v>
                </c:pt>
                <c:pt idx="18">
                  <c:v>0.12</c:v>
                </c:pt>
                <c:pt idx="19">
                  <c:v>0.126666666666667</c:v>
                </c:pt>
                <c:pt idx="20">
                  <c:v>0.133333333333333</c:v>
                </c:pt>
                <c:pt idx="21">
                  <c:v>0.14</c:v>
                </c:pt>
                <c:pt idx="22">
                  <c:v>0.146666666666667</c:v>
                </c:pt>
                <c:pt idx="23">
                  <c:v>0.153333333333333</c:v>
                </c:pt>
                <c:pt idx="24">
                  <c:v>0.16</c:v>
                </c:pt>
                <c:pt idx="25">
                  <c:v>0.166666666666667</c:v>
                </c:pt>
                <c:pt idx="26">
                  <c:v>0.173333333333333</c:v>
                </c:pt>
                <c:pt idx="27">
                  <c:v>0.18</c:v>
                </c:pt>
                <c:pt idx="28">
                  <c:v>0.186666666666667</c:v>
                </c:pt>
                <c:pt idx="29">
                  <c:v>0.193333333333333</c:v>
                </c:pt>
                <c:pt idx="30">
                  <c:v>0.2</c:v>
                </c:pt>
                <c:pt idx="31">
                  <c:v>0.206666666666667</c:v>
                </c:pt>
                <c:pt idx="32">
                  <c:v>0.213333333333333</c:v>
                </c:pt>
                <c:pt idx="33">
                  <c:v>0.22</c:v>
                </c:pt>
                <c:pt idx="34">
                  <c:v>0.226666666666667</c:v>
                </c:pt>
                <c:pt idx="35">
                  <c:v>0.233333333333333</c:v>
                </c:pt>
                <c:pt idx="36">
                  <c:v>0.24</c:v>
                </c:pt>
                <c:pt idx="37">
                  <c:v>0.246666666666667</c:v>
                </c:pt>
                <c:pt idx="38">
                  <c:v>0.253333333333333</c:v>
                </c:pt>
                <c:pt idx="39">
                  <c:v>0.26</c:v>
                </c:pt>
                <c:pt idx="40">
                  <c:v>0.266666666666667</c:v>
                </c:pt>
                <c:pt idx="41">
                  <c:v>0.273333333333333</c:v>
                </c:pt>
                <c:pt idx="42">
                  <c:v>0.28</c:v>
                </c:pt>
                <c:pt idx="43">
                  <c:v>0.286666666666667</c:v>
                </c:pt>
                <c:pt idx="44">
                  <c:v>0.293333333333333</c:v>
                </c:pt>
                <c:pt idx="45">
                  <c:v>0.3</c:v>
                </c:pt>
                <c:pt idx="46">
                  <c:v>0.306666666666667</c:v>
                </c:pt>
                <c:pt idx="47">
                  <c:v>0.313333333333333</c:v>
                </c:pt>
                <c:pt idx="48">
                  <c:v>0.32</c:v>
                </c:pt>
                <c:pt idx="49">
                  <c:v>0.326666666666667</c:v>
                </c:pt>
                <c:pt idx="50">
                  <c:v>0.333333333333333</c:v>
                </c:pt>
                <c:pt idx="51">
                  <c:v>0.34</c:v>
                </c:pt>
                <c:pt idx="52">
                  <c:v>0.346666666666667</c:v>
                </c:pt>
                <c:pt idx="53">
                  <c:v>0.353333333333333</c:v>
                </c:pt>
                <c:pt idx="54">
                  <c:v>0.36</c:v>
                </c:pt>
                <c:pt idx="55">
                  <c:v>0.366666666666667</c:v>
                </c:pt>
                <c:pt idx="56">
                  <c:v>0.373333333333333</c:v>
                </c:pt>
                <c:pt idx="57">
                  <c:v>0.38</c:v>
                </c:pt>
                <c:pt idx="58">
                  <c:v>0.386666666666667</c:v>
                </c:pt>
                <c:pt idx="59">
                  <c:v>0.393333333333333</c:v>
                </c:pt>
                <c:pt idx="60">
                  <c:v>0.4</c:v>
                </c:pt>
                <c:pt idx="61">
                  <c:v>0.406666666666667</c:v>
                </c:pt>
                <c:pt idx="62">
                  <c:v>0.413333333333333</c:v>
                </c:pt>
                <c:pt idx="63">
                  <c:v>0.42</c:v>
                </c:pt>
                <c:pt idx="64">
                  <c:v>0.426666666666667</c:v>
                </c:pt>
                <c:pt idx="65">
                  <c:v>0.433333333333333</c:v>
                </c:pt>
                <c:pt idx="66">
                  <c:v>0.44</c:v>
                </c:pt>
                <c:pt idx="67">
                  <c:v>0.446666666666667</c:v>
                </c:pt>
                <c:pt idx="68">
                  <c:v>0.453333333333333</c:v>
                </c:pt>
                <c:pt idx="69">
                  <c:v>0.46</c:v>
                </c:pt>
                <c:pt idx="70">
                  <c:v>0.466666666666667</c:v>
                </c:pt>
                <c:pt idx="71">
                  <c:v>0.473333333333333</c:v>
                </c:pt>
                <c:pt idx="72">
                  <c:v>0.48</c:v>
                </c:pt>
                <c:pt idx="73">
                  <c:v>0.486666666666667</c:v>
                </c:pt>
                <c:pt idx="74">
                  <c:v>0.493333333333333</c:v>
                </c:pt>
                <c:pt idx="75">
                  <c:v>0.5</c:v>
                </c:pt>
                <c:pt idx="76">
                  <c:v>0.506666666666667</c:v>
                </c:pt>
                <c:pt idx="77">
                  <c:v>0.513333333333333</c:v>
                </c:pt>
                <c:pt idx="78">
                  <c:v>0.52</c:v>
                </c:pt>
                <c:pt idx="79">
                  <c:v>0.526666666666667</c:v>
                </c:pt>
                <c:pt idx="80">
                  <c:v>0.533333333333333</c:v>
                </c:pt>
                <c:pt idx="81">
                  <c:v>0.54</c:v>
                </c:pt>
                <c:pt idx="82">
                  <c:v>0.546666666666667</c:v>
                </c:pt>
                <c:pt idx="83">
                  <c:v>0.553333333333333</c:v>
                </c:pt>
                <c:pt idx="84">
                  <c:v>0.56</c:v>
                </c:pt>
                <c:pt idx="85">
                  <c:v>0.566666666666667</c:v>
                </c:pt>
                <c:pt idx="86">
                  <c:v>0.573333333333333</c:v>
                </c:pt>
                <c:pt idx="87">
                  <c:v>0.58</c:v>
                </c:pt>
                <c:pt idx="88">
                  <c:v>0.586666666666667</c:v>
                </c:pt>
                <c:pt idx="89">
                  <c:v>0.593333333333333</c:v>
                </c:pt>
                <c:pt idx="90">
                  <c:v>0.6</c:v>
                </c:pt>
                <c:pt idx="91">
                  <c:v>0.606666666666667</c:v>
                </c:pt>
                <c:pt idx="92">
                  <c:v>0.613333333333333</c:v>
                </c:pt>
                <c:pt idx="93">
                  <c:v>0.62</c:v>
                </c:pt>
                <c:pt idx="94">
                  <c:v>0.626666666666667</c:v>
                </c:pt>
                <c:pt idx="95">
                  <c:v>0.633333333333333</c:v>
                </c:pt>
                <c:pt idx="96">
                  <c:v>0.64</c:v>
                </c:pt>
                <c:pt idx="97">
                  <c:v>0.646666666666667</c:v>
                </c:pt>
                <c:pt idx="98">
                  <c:v>0.653333333333333</c:v>
                </c:pt>
                <c:pt idx="99">
                  <c:v>0.66</c:v>
                </c:pt>
                <c:pt idx="100">
                  <c:v>0.666666666666667</c:v>
                </c:pt>
                <c:pt idx="101">
                  <c:v>0.673333333333333</c:v>
                </c:pt>
                <c:pt idx="102">
                  <c:v>0.68</c:v>
                </c:pt>
                <c:pt idx="103">
                  <c:v>0.686666666666667</c:v>
                </c:pt>
                <c:pt idx="104">
                  <c:v>0.693333333333333</c:v>
                </c:pt>
                <c:pt idx="105">
                  <c:v>0.7</c:v>
                </c:pt>
                <c:pt idx="106">
                  <c:v>0.706666666666667</c:v>
                </c:pt>
                <c:pt idx="107">
                  <c:v>0.713333333333333</c:v>
                </c:pt>
                <c:pt idx="108">
                  <c:v>0.72</c:v>
                </c:pt>
                <c:pt idx="109">
                  <c:v>0.726666666666667</c:v>
                </c:pt>
                <c:pt idx="110">
                  <c:v>0.733333333333333</c:v>
                </c:pt>
                <c:pt idx="111">
                  <c:v>0.74</c:v>
                </c:pt>
                <c:pt idx="112">
                  <c:v>0.746666666666667</c:v>
                </c:pt>
                <c:pt idx="113">
                  <c:v>0.753333333333333</c:v>
                </c:pt>
                <c:pt idx="114">
                  <c:v>0.76</c:v>
                </c:pt>
                <c:pt idx="115">
                  <c:v>0.766666666666667</c:v>
                </c:pt>
                <c:pt idx="116">
                  <c:v>0.773333333333333</c:v>
                </c:pt>
                <c:pt idx="117">
                  <c:v>0.78</c:v>
                </c:pt>
                <c:pt idx="118">
                  <c:v>0.786666666666667</c:v>
                </c:pt>
                <c:pt idx="119">
                  <c:v>0.793333333333333</c:v>
                </c:pt>
                <c:pt idx="120">
                  <c:v>0.8</c:v>
                </c:pt>
                <c:pt idx="121">
                  <c:v>0.806666666666667</c:v>
                </c:pt>
                <c:pt idx="122">
                  <c:v>0.813333333333333</c:v>
                </c:pt>
                <c:pt idx="123">
                  <c:v>0.82</c:v>
                </c:pt>
                <c:pt idx="124">
                  <c:v>0.826666666666667</c:v>
                </c:pt>
                <c:pt idx="125">
                  <c:v>0.833333333333333</c:v>
                </c:pt>
                <c:pt idx="126">
                  <c:v>0.84</c:v>
                </c:pt>
                <c:pt idx="127">
                  <c:v>0.846666666666667</c:v>
                </c:pt>
                <c:pt idx="128">
                  <c:v>0.853333333333333</c:v>
                </c:pt>
                <c:pt idx="129">
                  <c:v>0.86</c:v>
                </c:pt>
                <c:pt idx="130">
                  <c:v>0.866666666666667</c:v>
                </c:pt>
                <c:pt idx="131">
                  <c:v>0.873333333333333</c:v>
                </c:pt>
                <c:pt idx="132">
                  <c:v>0.88</c:v>
                </c:pt>
                <c:pt idx="133">
                  <c:v>0.886666666666667</c:v>
                </c:pt>
                <c:pt idx="134">
                  <c:v>0.893333333333333</c:v>
                </c:pt>
                <c:pt idx="135">
                  <c:v>0.9</c:v>
                </c:pt>
                <c:pt idx="136">
                  <c:v>0.906666666666667</c:v>
                </c:pt>
                <c:pt idx="137">
                  <c:v>0.913333333333333</c:v>
                </c:pt>
                <c:pt idx="138">
                  <c:v>0.92</c:v>
                </c:pt>
                <c:pt idx="139">
                  <c:v>0.926666666666667</c:v>
                </c:pt>
                <c:pt idx="140">
                  <c:v>0.933333333333333</c:v>
                </c:pt>
                <c:pt idx="141">
                  <c:v>0.94</c:v>
                </c:pt>
                <c:pt idx="142">
                  <c:v>0.946666666666667</c:v>
                </c:pt>
                <c:pt idx="143">
                  <c:v>0.953333333333333</c:v>
                </c:pt>
                <c:pt idx="144">
                  <c:v>0.96</c:v>
                </c:pt>
                <c:pt idx="145">
                  <c:v>0.966666666666667</c:v>
                </c:pt>
                <c:pt idx="146">
                  <c:v>0.973333333333333</c:v>
                </c:pt>
                <c:pt idx="147">
                  <c:v>0.98</c:v>
                </c:pt>
                <c:pt idx="148">
                  <c:v>0.986666666666667</c:v>
                </c:pt>
                <c:pt idx="149">
                  <c:v>0.993333333333333</c:v>
                </c:pt>
                <c:pt idx="150">
                  <c:v>1</c:v>
                </c:pt>
              </c:numCache>
            </c:numRef>
          </c:xVal>
          <c:yVal>
            <c:numRef>
              <c:f>Eff_vs_IOUT!$AI$7:$AI$157</c:f>
              <c:numCache>
                <c:formatCode>General</c:formatCode>
                <c:ptCount val="151"/>
                <c:pt idx="0">
                  <c:v>0</c:v>
                </c:pt>
                <c:pt idx="1">
                  <c:v>-6.10239926439246e-5</c:v>
                </c:pt>
                <c:pt idx="2">
                  <c:v>-0.000109023398347973</c:v>
                </c:pt>
                <c:pt idx="3">
                  <c:v>-0.000145197474594362</c:v>
                </c:pt>
                <c:pt idx="4">
                  <c:v>-0.000169656455882618</c:v>
                </c:pt>
                <c:pt idx="5">
                  <c:v>-0.000182295122667928</c:v>
                </c:pt>
                <c:pt idx="6">
                  <c:v>-0.000182926491408843</c:v>
                </c:pt>
                <c:pt idx="7">
                  <c:v>-0.000171326008440856</c:v>
                </c:pt>
                <c:pt idx="8">
                  <c:v>-0.000496127842156365</c:v>
                </c:pt>
                <c:pt idx="9">
                  <c:v>-0.000557941643778787</c:v>
                </c:pt>
                <c:pt idx="10">
                  <c:v>-0.000618660245401209</c:v>
                </c:pt>
                <c:pt idx="11">
                  <c:v>-0.000678283647023631</c:v>
                </c:pt>
                <c:pt idx="12">
                  <c:v>-0.000736811848646053</c:v>
                </c:pt>
                <c:pt idx="13">
                  <c:v>-0.000794244850268475</c:v>
                </c:pt>
                <c:pt idx="14">
                  <c:v>-0.000850582651890897</c:v>
                </c:pt>
                <c:pt idx="15">
                  <c:v>-0.000905825253513319</c:v>
                </c:pt>
                <c:pt idx="16">
                  <c:v>-0.00095997265513574</c:v>
                </c:pt>
                <c:pt idx="17">
                  <c:v>-0.00101302485675816</c:v>
                </c:pt>
                <c:pt idx="18">
                  <c:v>-0.00106498185838058</c:v>
                </c:pt>
                <c:pt idx="19">
                  <c:v>-0.00111584366000301</c:v>
                </c:pt>
                <c:pt idx="20">
                  <c:v>-0.00116561026162543</c:v>
                </c:pt>
                <c:pt idx="21">
                  <c:v>-0.00121428166324785</c:v>
                </c:pt>
                <c:pt idx="22">
                  <c:v>-0.00126185786487027</c:v>
                </c:pt>
                <c:pt idx="23">
                  <c:v>-0.00130833886649269</c:v>
                </c:pt>
                <c:pt idx="24">
                  <c:v>-0.00135372466811512</c:v>
                </c:pt>
                <c:pt idx="25">
                  <c:v>-0.00139801526973754</c:v>
                </c:pt>
                <c:pt idx="26">
                  <c:v>-0.00144121067135996</c:v>
                </c:pt>
                <c:pt idx="27">
                  <c:v>-0.00148331087298238</c:v>
                </c:pt>
                <c:pt idx="28">
                  <c:v>-0.0015243158746048</c:v>
                </c:pt>
                <c:pt idx="29">
                  <c:v>-0.00156422567622723</c:v>
                </c:pt>
                <c:pt idx="30">
                  <c:v>-0.00160304027784965</c:v>
                </c:pt>
                <c:pt idx="31">
                  <c:v>-0.00164075967947207</c:v>
                </c:pt>
                <c:pt idx="32">
                  <c:v>-0.00167738388109449</c:v>
                </c:pt>
                <c:pt idx="33">
                  <c:v>-0.00171291288271691</c:v>
                </c:pt>
                <c:pt idx="34">
                  <c:v>-0.00174734668433933</c:v>
                </c:pt>
                <c:pt idx="35">
                  <c:v>-0.00178068528596176</c:v>
                </c:pt>
                <c:pt idx="36">
                  <c:v>-0.00181292868758418</c:v>
                </c:pt>
                <c:pt idx="37">
                  <c:v>-0.0018440768892066</c:v>
                </c:pt>
                <c:pt idx="38">
                  <c:v>-0.00187412989082902</c:v>
                </c:pt>
                <c:pt idx="39">
                  <c:v>-0.00190308769245144</c:v>
                </c:pt>
                <c:pt idx="40">
                  <c:v>-0.00193095029407387</c:v>
                </c:pt>
                <c:pt idx="41">
                  <c:v>-0.00195771769569629</c:v>
                </c:pt>
                <c:pt idx="42">
                  <c:v>-0.00198338989731871</c:v>
                </c:pt>
                <c:pt idx="43">
                  <c:v>-0.00200796689894113</c:v>
                </c:pt>
                <c:pt idx="44">
                  <c:v>-0.00203144870056355</c:v>
                </c:pt>
                <c:pt idx="45">
                  <c:v>-0.00205383530218597</c:v>
                </c:pt>
                <c:pt idx="46">
                  <c:v>-0.0020751267038084</c:v>
                </c:pt>
                <c:pt idx="47">
                  <c:v>-0.00209532290543082</c:v>
                </c:pt>
                <c:pt idx="48">
                  <c:v>-0.00211442390705324</c:v>
                </c:pt>
                <c:pt idx="49">
                  <c:v>-0.00213242970867566</c:v>
                </c:pt>
                <c:pt idx="50">
                  <c:v>-0.00214934031029808</c:v>
                </c:pt>
                <c:pt idx="51">
                  <c:v>-0.00216515571192051</c:v>
                </c:pt>
                <c:pt idx="52">
                  <c:v>-0.00217987591354293</c:v>
                </c:pt>
                <c:pt idx="53">
                  <c:v>-0.00219350091516535</c:v>
                </c:pt>
                <c:pt idx="54">
                  <c:v>-0.00220603071678777</c:v>
                </c:pt>
                <c:pt idx="55">
                  <c:v>-0.00221746531841019</c:v>
                </c:pt>
                <c:pt idx="56">
                  <c:v>-0.00222780472003261</c:v>
                </c:pt>
                <c:pt idx="57">
                  <c:v>-0.00223704892165504</c:v>
                </c:pt>
                <c:pt idx="58">
                  <c:v>-0.00224519792327746</c:v>
                </c:pt>
                <c:pt idx="59">
                  <c:v>-0.00225225172489988</c:v>
                </c:pt>
                <c:pt idx="60">
                  <c:v>-0.0022582103265223</c:v>
                </c:pt>
                <c:pt idx="61">
                  <c:v>-0.00226307372814472</c:v>
                </c:pt>
                <c:pt idx="62">
                  <c:v>-0.00226684192976715</c:v>
                </c:pt>
                <c:pt idx="63">
                  <c:v>-0.00226951493138957</c:v>
                </c:pt>
                <c:pt idx="64">
                  <c:v>-0.00227109273301199</c:v>
                </c:pt>
                <c:pt idx="65">
                  <c:v>-0.00227157533463441</c:v>
                </c:pt>
                <c:pt idx="66">
                  <c:v>-0.00227096273625683</c:v>
                </c:pt>
                <c:pt idx="67">
                  <c:v>-0.00226925493787925</c:v>
                </c:pt>
                <c:pt idx="68">
                  <c:v>-0.00226645193950168</c:v>
                </c:pt>
                <c:pt idx="69">
                  <c:v>-0.0022625537411241</c:v>
                </c:pt>
                <c:pt idx="70">
                  <c:v>-0.00225756034274652</c:v>
                </c:pt>
                <c:pt idx="71">
                  <c:v>-0.00225147174436894</c:v>
                </c:pt>
                <c:pt idx="72">
                  <c:v>-0.00224428794599136</c:v>
                </c:pt>
                <c:pt idx="73">
                  <c:v>-0.00223600894761379</c:v>
                </c:pt>
                <c:pt idx="74">
                  <c:v>-0.00222663474923621</c:v>
                </c:pt>
                <c:pt idx="75">
                  <c:v>-0.00221616535085863</c:v>
                </c:pt>
                <c:pt idx="76">
                  <c:v>-0.00220460075248105</c:v>
                </c:pt>
                <c:pt idx="77">
                  <c:v>-0.00219194095410347</c:v>
                </c:pt>
                <c:pt idx="78">
                  <c:v>-0.0021781859557259</c:v>
                </c:pt>
                <c:pt idx="79">
                  <c:v>-0.00216333575734832</c:v>
                </c:pt>
                <c:pt idx="80">
                  <c:v>-0.00214739035897074</c:v>
                </c:pt>
                <c:pt idx="81">
                  <c:v>-0.00213034976059316</c:v>
                </c:pt>
                <c:pt idx="82">
                  <c:v>-0.00211221396221558</c:v>
                </c:pt>
                <c:pt idx="83">
                  <c:v>-0.00209298296383801</c:v>
                </c:pt>
                <c:pt idx="84">
                  <c:v>-0.00207265676546043</c:v>
                </c:pt>
                <c:pt idx="85">
                  <c:v>-0.00205123536708285</c:v>
                </c:pt>
                <c:pt idx="86">
                  <c:v>-0.00202871876870527</c:v>
                </c:pt>
                <c:pt idx="87">
                  <c:v>-0.00200510697032769</c:v>
                </c:pt>
                <c:pt idx="88">
                  <c:v>-0.00198039997195012</c:v>
                </c:pt>
                <c:pt idx="89">
                  <c:v>-0.00195459777357254</c:v>
                </c:pt>
                <c:pt idx="90">
                  <c:v>-0.00192770037519496</c:v>
                </c:pt>
                <c:pt idx="91">
                  <c:v>-0.00189970777681738</c:v>
                </c:pt>
                <c:pt idx="92">
                  <c:v>-0.0018706199784398</c:v>
                </c:pt>
                <c:pt idx="93">
                  <c:v>-0.00184043698006222</c:v>
                </c:pt>
                <c:pt idx="94">
                  <c:v>-0.00180915878168464</c:v>
                </c:pt>
                <c:pt idx="95">
                  <c:v>-0.00177678538330707</c:v>
                </c:pt>
                <c:pt idx="96">
                  <c:v>-0.00174331678492949</c:v>
                </c:pt>
                <c:pt idx="97">
                  <c:v>-0.00170875298655191</c:v>
                </c:pt>
                <c:pt idx="98">
                  <c:v>-0.00167309398817433</c:v>
                </c:pt>
                <c:pt idx="99">
                  <c:v>-0.00163633978979676</c:v>
                </c:pt>
                <c:pt idx="100">
                  <c:v>-0.00159849039141918</c:v>
                </c:pt>
                <c:pt idx="101">
                  <c:v>-0.0015595457930416</c:v>
                </c:pt>
                <c:pt idx="102">
                  <c:v>-0.00151950599466402</c:v>
                </c:pt>
                <c:pt idx="103">
                  <c:v>-0.00147837099628644</c:v>
                </c:pt>
                <c:pt idx="104">
                  <c:v>-0.00143614079790886</c:v>
                </c:pt>
                <c:pt idx="105">
                  <c:v>-0.00139281539953129</c:v>
                </c:pt>
                <c:pt idx="106">
                  <c:v>-0.00134839480115371</c:v>
                </c:pt>
                <c:pt idx="107">
                  <c:v>-0.00130287900277613</c:v>
                </c:pt>
                <c:pt idx="108">
                  <c:v>-0.00125626800439855</c:v>
                </c:pt>
                <c:pt idx="109">
                  <c:v>-0.00120856180602098</c:v>
                </c:pt>
                <c:pt idx="110">
                  <c:v>-0.0011597604076434</c:v>
                </c:pt>
                <c:pt idx="111">
                  <c:v>-0.00110986380926582</c:v>
                </c:pt>
                <c:pt idx="112">
                  <c:v>-0.00105887201088824</c:v>
                </c:pt>
                <c:pt idx="113">
                  <c:v>-0.00100678501251066</c:v>
                </c:pt>
                <c:pt idx="114">
                  <c:v>-0.000953602814133082</c:v>
                </c:pt>
                <c:pt idx="115">
                  <c:v>-0.000899325415755505</c:v>
                </c:pt>
                <c:pt idx="116">
                  <c:v>-0.000843952817377927</c:v>
                </c:pt>
                <c:pt idx="117">
                  <c:v>-0.000787485019000348</c:v>
                </c:pt>
                <c:pt idx="118">
                  <c:v>-0.000729922020622768</c:v>
                </c:pt>
                <c:pt idx="119">
                  <c:v>-0.000671263822245194</c:v>
                </c:pt>
                <c:pt idx="120">
                  <c:v>-0.000611510423867615</c:v>
                </c:pt>
                <c:pt idx="121">
                  <c:v>-0.000550661825490037</c:v>
                </c:pt>
                <c:pt idx="122">
                  <c:v>-0.000488718027112457</c:v>
                </c:pt>
                <c:pt idx="123">
                  <c:v>-0.000425679028734879</c:v>
                </c:pt>
                <c:pt idx="124">
                  <c:v>-0.000361544830357304</c:v>
                </c:pt>
                <c:pt idx="125">
                  <c:v>-0.000296315431979725</c:v>
                </c:pt>
                <c:pt idx="126">
                  <c:v>-0.000229990833602147</c:v>
                </c:pt>
                <c:pt idx="127">
                  <c:v>-0.00016257103522457</c:v>
                </c:pt>
                <c:pt idx="128">
                  <c:v>-9.40560368469911e-5</c:v>
                </c:pt>
                <c:pt idx="129">
                  <c:v>-2.44458384694134e-5</c:v>
                </c:pt>
                <c:pt idx="130">
                  <c:v>4.62595599081683e-5</c:v>
                </c:pt>
                <c:pt idx="131">
                  <c:v>0.000118060158285744</c:v>
                </c:pt>
                <c:pt idx="132">
                  <c:v>0.000190955956663321</c:v>
                </c:pt>
                <c:pt idx="133">
                  <c:v>0.000264946955040901</c:v>
                </c:pt>
                <c:pt idx="134">
                  <c:v>0.000340033153418481</c:v>
                </c:pt>
                <c:pt idx="135">
                  <c:v>0.000416214551796055</c:v>
                </c:pt>
                <c:pt idx="136">
                  <c:v>0.000493491150173636</c:v>
                </c:pt>
                <c:pt idx="137">
                  <c:v>0.000571862948551211</c:v>
                </c:pt>
                <c:pt idx="138">
                  <c:v>0.000651329946928793</c:v>
                </c:pt>
                <c:pt idx="139">
                  <c:v>0.000731892145306369</c:v>
                </c:pt>
                <c:pt idx="140">
                  <c:v>0.000813549543683949</c:v>
                </c:pt>
                <c:pt idx="141">
                  <c:v>0.000896302142061526</c:v>
                </c:pt>
                <c:pt idx="142">
                  <c:v>0.000980149940439101</c:v>
                </c:pt>
                <c:pt idx="143">
                  <c:v>0.00106509293881668</c:v>
                </c:pt>
                <c:pt idx="144">
                  <c:v>0.00115113113719426</c:v>
                </c:pt>
                <c:pt idx="145">
                  <c:v>0.00123826453557184</c:v>
                </c:pt>
                <c:pt idx="146">
                  <c:v>0.00132649313394942</c:v>
                </c:pt>
                <c:pt idx="147">
                  <c:v>0.00141581693232699</c:v>
                </c:pt>
                <c:pt idx="148">
                  <c:v>0.00150623593070457</c:v>
                </c:pt>
                <c:pt idx="149">
                  <c:v>0.00159775012908215</c:v>
                </c:pt>
                <c:pt idx="150">
                  <c:v>0.00169035952745973</c:v>
                </c:pt>
              </c:numCache>
            </c:numRef>
          </c:yVal>
          <c:smooth val="1"/>
        </c:ser>
        <c:ser>
          <c:idx val="2"/>
          <c:order val="2"/>
          <c:tx>
            <c:strRef>
              <c:f>"Diode"</c:f>
              <c:strCache>
                <c:ptCount val="1"/>
                <c:pt idx="0">
                  <c:v>Diode</c:v>
                </c:pt>
              </c:strCache>
            </c:strRef>
          </c:tx>
          <c:spPr>
            <a:ln w="28575" cap="rnd" cmpd="sng" algn="ctr">
              <a:solidFill>
                <a:schemeClr val="bg2">
                  <a:lumMod val="50000"/>
                </a:schemeClr>
              </a:solidFill>
              <a:prstDash val="sysDash"/>
              <a:round/>
            </a:ln>
          </c:spPr>
          <c:marker>
            <c:symbol val="none"/>
          </c:marker>
          <c:dLbls>
            <c:delete val="1"/>
          </c:dLbls>
          <c:xVal>
            <c:numRef>
              <c:f>Eff_vs_IOUT!$S$8:$S$157</c:f>
              <c:numCache>
                <c:formatCode>General</c:formatCode>
                <c:ptCount val="150"/>
                <c:pt idx="0">
                  <c:v>0.00666666666666667</c:v>
                </c:pt>
                <c:pt idx="1">
                  <c:v>0.0133333333333333</c:v>
                </c:pt>
                <c:pt idx="2">
                  <c:v>0.02</c:v>
                </c:pt>
                <c:pt idx="3">
                  <c:v>0.0266666666666667</c:v>
                </c:pt>
                <c:pt idx="4">
                  <c:v>0.0333333333333333</c:v>
                </c:pt>
                <c:pt idx="5">
                  <c:v>0.04</c:v>
                </c:pt>
                <c:pt idx="6">
                  <c:v>0.0466666666666667</c:v>
                </c:pt>
                <c:pt idx="7">
                  <c:v>0.0533333333333333</c:v>
                </c:pt>
                <c:pt idx="8">
                  <c:v>0.06</c:v>
                </c:pt>
                <c:pt idx="9">
                  <c:v>0.0666666666666667</c:v>
                </c:pt>
                <c:pt idx="10">
                  <c:v>0.0733333333333333</c:v>
                </c:pt>
                <c:pt idx="11">
                  <c:v>0.08</c:v>
                </c:pt>
                <c:pt idx="12">
                  <c:v>0.0866666666666667</c:v>
                </c:pt>
                <c:pt idx="13">
                  <c:v>0.0933333333333333</c:v>
                </c:pt>
                <c:pt idx="14">
                  <c:v>0.1</c:v>
                </c:pt>
                <c:pt idx="15">
                  <c:v>0.106666666666667</c:v>
                </c:pt>
                <c:pt idx="16">
                  <c:v>0.113333333333333</c:v>
                </c:pt>
                <c:pt idx="17">
                  <c:v>0.12</c:v>
                </c:pt>
                <c:pt idx="18">
                  <c:v>0.126666666666667</c:v>
                </c:pt>
                <c:pt idx="19">
                  <c:v>0.133333333333333</c:v>
                </c:pt>
                <c:pt idx="20">
                  <c:v>0.14</c:v>
                </c:pt>
                <c:pt idx="21">
                  <c:v>0.146666666666667</c:v>
                </c:pt>
                <c:pt idx="22">
                  <c:v>0.153333333333333</c:v>
                </c:pt>
                <c:pt idx="23">
                  <c:v>0.16</c:v>
                </c:pt>
                <c:pt idx="24">
                  <c:v>0.166666666666667</c:v>
                </c:pt>
                <c:pt idx="25">
                  <c:v>0.173333333333333</c:v>
                </c:pt>
                <c:pt idx="26">
                  <c:v>0.18</c:v>
                </c:pt>
                <c:pt idx="27">
                  <c:v>0.186666666666667</c:v>
                </c:pt>
                <c:pt idx="28">
                  <c:v>0.193333333333333</c:v>
                </c:pt>
                <c:pt idx="29">
                  <c:v>0.2</c:v>
                </c:pt>
                <c:pt idx="30">
                  <c:v>0.206666666666667</c:v>
                </c:pt>
                <c:pt idx="31">
                  <c:v>0.213333333333333</c:v>
                </c:pt>
                <c:pt idx="32">
                  <c:v>0.22</c:v>
                </c:pt>
                <c:pt idx="33">
                  <c:v>0.226666666666667</c:v>
                </c:pt>
                <c:pt idx="34">
                  <c:v>0.233333333333333</c:v>
                </c:pt>
                <c:pt idx="35">
                  <c:v>0.24</c:v>
                </c:pt>
                <c:pt idx="36">
                  <c:v>0.246666666666667</c:v>
                </c:pt>
                <c:pt idx="37">
                  <c:v>0.253333333333333</c:v>
                </c:pt>
                <c:pt idx="38">
                  <c:v>0.26</c:v>
                </c:pt>
                <c:pt idx="39">
                  <c:v>0.266666666666667</c:v>
                </c:pt>
                <c:pt idx="40">
                  <c:v>0.273333333333333</c:v>
                </c:pt>
                <c:pt idx="41">
                  <c:v>0.28</c:v>
                </c:pt>
                <c:pt idx="42">
                  <c:v>0.286666666666667</c:v>
                </c:pt>
                <c:pt idx="43">
                  <c:v>0.293333333333333</c:v>
                </c:pt>
                <c:pt idx="44">
                  <c:v>0.3</c:v>
                </c:pt>
                <c:pt idx="45">
                  <c:v>0.306666666666667</c:v>
                </c:pt>
                <c:pt idx="46">
                  <c:v>0.313333333333333</c:v>
                </c:pt>
                <c:pt idx="47">
                  <c:v>0.32</c:v>
                </c:pt>
                <c:pt idx="48">
                  <c:v>0.326666666666667</c:v>
                </c:pt>
                <c:pt idx="49">
                  <c:v>0.333333333333333</c:v>
                </c:pt>
                <c:pt idx="50">
                  <c:v>0.34</c:v>
                </c:pt>
                <c:pt idx="51">
                  <c:v>0.346666666666667</c:v>
                </c:pt>
                <c:pt idx="52">
                  <c:v>0.353333333333333</c:v>
                </c:pt>
                <c:pt idx="53">
                  <c:v>0.36</c:v>
                </c:pt>
                <c:pt idx="54">
                  <c:v>0.366666666666667</c:v>
                </c:pt>
                <c:pt idx="55">
                  <c:v>0.373333333333333</c:v>
                </c:pt>
                <c:pt idx="56">
                  <c:v>0.38</c:v>
                </c:pt>
                <c:pt idx="57">
                  <c:v>0.386666666666667</c:v>
                </c:pt>
                <c:pt idx="58">
                  <c:v>0.393333333333333</c:v>
                </c:pt>
                <c:pt idx="59">
                  <c:v>0.4</c:v>
                </c:pt>
                <c:pt idx="60">
                  <c:v>0.406666666666667</c:v>
                </c:pt>
                <c:pt idx="61">
                  <c:v>0.413333333333333</c:v>
                </c:pt>
                <c:pt idx="62">
                  <c:v>0.42</c:v>
                </c:pt>
                <c:pt idx="63">
                  <c:v>0.426666666666667</c:v>
                </c:pt>
                <c:pt idx="64">
                  <c:v>0.433333333333333</c:v>
                </c:pt>
                <c:pt idx="65">
                  <c:v>0.44</c:v>
                </c:pt>
                <c:pt idx="66">
                  <c:v>0.446666666666667</c:v>
                </c:pt>
                <c:pt idx="67">
                  <c:v>0.453333333333333</c:v>
                </c:pt>
                <c:pt idx="68">
                  <c:v>0.46</c:v>
                </c:pt>
                <c:pt idx="69">
                  <c:v>0.466666666666667</c:v>
                </c:pt>
                <c:pt idx="70">
                  <c:v>0.473333333333333</c:v>
                </c:pt>
                <c:pt idx="71">
                  <c:v>0.48</c:v>
                </c:pt>
                <c:pt idx="72">
                  <c:v>0.486666666666667</c:v>
                </c:pt>
                <c:pt idx="73">
                  <c:v>0.493333333333333</c:v>
                </c:pt>
                <c:pt idx="74">
                  <c:v>0.5</c:v>
                </c:pt>
                <c:pt idx="75">
                  <c:v>0.506666666666667</c:v>
                </c:pt>
                <c:pt idx="76">
                  <c:v>0.513333333333333</c:v>
                </c:pt>
                <c:pt idx="77">
                  <c:v>0.52</c:v>
                </c:pt>
                <c:pt idx="78">
                  <c:v>0.526666666666667</c:v>
                </c:pt>
                <c:pt idx="79">
                  <c:v>0.533333333333333</c:v>
                </c:pt>
                <c:pt idx="80">
                  <c:v>0.54</c:v>
                </c:pt>
                <c:pt idx="81">
                  <c:v>0.546666666666667</c:v>
                </c:pt>
                <c:pt idx="82">
                  <c:v>0.553333333333333</c:v>
                </c:pt>
                <c:pt idx="83">
                  <c:v>0.56</c:v>
                </c:pt>
                <c:pt idx="84">
                  <c:v>0.566666666666667</c:v>
                </c:pt>
                <c:pt idx="85">
                  <c:v>0.573333333333333</c:v>
                </c:pt>
                <c:pt idx="86">
                  <c:v>0.58</c:v>
                </c:pt>
                <c:pt idx="87">
                  <c:v>0.586666666666667</c:v>
                </c:pt>
                <c:pt idx="88">
                  <c:v>0.593333333333333</c:v>
                </c:pt>
                <c:pt idx="89">
                  <c:v>0.6</c:v>
                </c:pt>
                <c:pt idx="90">
                  <c:v>0.606666666666667</c:v>
                </c:pt>
                <c:pt idx="91">
                  <c:v>0.613333333333333</c:v>
                </c:pt>
                <c:pt idx="92">
                  <c:v>0.62</c:v>
                </c:pt>
                <c:pt idx="93">
                  <c:v>0.626666666666667</c:v>
                </c:pt>
                <c:pt idx="94">
                  <c:v>0.633333333333333</c:v>
                </c:pt>
                <c:pt idx="95">
                  <c:v>0.64</c:v>
                </c:pt>
                <c:pt idx="96">
                  <c:v>0.646666666666667</c:v>
                </c:pt>
                <c:pt idx="97">
                  <c:v>0.653333333333333</c:v>
                </c:pt>
                <c:pt idx="98">
                  <c:v>0.66</c:v>
                </c:pt>
                <c:pt idx="99">
                  <c:v>0.666666666666667</c:v>
                </c:pt>
                <c:pt idx="100">
                  <c:v>0.673333333333333</c:v>
                </c:pt>
                <c:pt idx="101">
                  <c:v>0.68</c:v>
                </c:pt>
                <c:pt idx="102">
                  <c:v>0.686666666666667</c:v>
                </c:pt>
                <c:pt idx="103">
                  <c:v>0.693333333333333</c:v>
                </c:pt>
                <c:pt idx="104">
                  <c:v>0.7</c:v>
                </c:pt>
                <c:pt idx="105">
                  <c:v>0.706666666666667</c:v>
                </c:pt>
                <c:pt idx="106">
                  <c:v>0.713333333333333</c:v>
                </c:pt>
                <c:pt idx="107">
                  <c:v>0.72</c:v>
                </c:pt>
                <c:pt idx="108">
                  <c:v>0.726666666666667</c:v>
                </c:pt>
                <c:pt idx="109">
                  <c:v>0.733333333333333</c:v>
                </c:pt>
                <c:pt idx="110">
                  <c:v>0.74</c:v>
                </c:pt>
                <c:pt idx="111">
                  <c:v>0.746666666666667</c:v>
                </c:pt>
                <c:pt idx="112">
                  <c:v>0.753333333333333</c:v>
                </c:pt>
                <c:pt idx="113">
                  <c:v>0.76</c:v>
                </c:pt>
                <c:pt idx="114">
                  <c:v>0.766666666666667</c:v>
                </c:pt>
                <c:pt idx="115">
                  <c:v>0.773333333333333</c:v>
                </c:pt>
                <c:pt idx="116">
                  <c:v>0.78</c:v>
                </c:pt>
                <c:pt idx="117">
                  <c:v>0.786666666666667</c:v>
                </c:pt>
                <c:pt idx="118">
                  <c:v>0.793333333333333</c:v>
                </c:pt>
                <c:pt idx="119">
                  <c:v>0.8</c:v>
                </c:pt>
                <c:pt idx="120">
                  <c:v>0.806666666666667</c:v>
                </c:pt>
                <c:pt idx="121">
                  <c:v>0.813333333333333</c:v>
                </c:pt>
                <c:pt idx="122">
                  <c:v>0.82</c:v>
                </c:pt>
                <c:pt idx="123">
                  <c:v>0.826666666666667</c:v>
                </c:pt>
                <c:pt idx="124">
                  <c:v>0.833333333333333</c:v>
                </c:pt>
                <c:pt idx="125">
                  <c:v>0.84</c:v>
                </c:pt>
                <c:pt idx="126">
                  <c:v>0.846666666666667</c:v>
                </c:pt>
                <c:pt idx="127">
                  <c:v>0.853333333333333</c:v>
                </c:pt>
                <c:pt idx="128">
                  <c:v>0.86</c:v>
                </c:pt>
                <c:pt idx="129">
                  <c:v>0.866666666666667</c:v>
                </c:pt>
                <c:pt idx="130">
                  <c:v>0.873333333333333</c:v>
                </c:pt>
                <c:pt idx="131">
                  <c:v>0.88</c:v>
                </c:pt>
                <c:pt idx="132">
                  <c:v>0.886666666666667</c:v>
                </c:pt>
                <c:pt idx="133">
                  <c:v>0.893333333333333</c:v>
                </c:pt>
                <c:pt idx="134">
                  <c:v>0.9</c:v>
                </c:pt>
                <c:pt idx="135">
                  <c:v>0.906666666666667</c:v>
                </c:pt>
                <c:pt idx="136">
                  <c:v>0.913333333333333</c:v>
                </c:pt>
                <c:pt idx="137">
                  <c:v>0.92</c:v>
                </c:pt>
                <c:pt idx="138">
                  <c:v>0.926666666666667</c:v>
                </c:pt>
                <c:pt idx="139">
                  <c:v>0.933333333333333</c:v>
                </c:pt>
                <c:pt idx="140">
                  <c:v>0.94</c:v>
                </c:pt>
                <c:pt idx="141">
                  <c:v>0.946666666666667</c:v>
                </c:pt>
                <c:pt idx="142">
                  <c:v>0.953333333333333</c:v>
                </c:pt>
                <c:pt idx="143">
                  <c:v>0.96</c:v>
                </c:pt>
                <c:pt idx="144">
                  <c:v>0.966666666666667</c:v>
                </c:pt>
                <c:pt idx="145">
                  <c:v>0.973333333333333</c:v>
                </c:pt>
                <c:pt idx="146">
                  <c:v>0.98</c:v>
                </c:pt>
                <c:pt idx="147">
                  <c:v>0.986666666666667</c:v>
                </c:pt>
                <c:pt idx="148">
                  <c:v>0.993333333333333</c:v>
                </c:pt>
                <c:pt idx="149">
                  <c:v>1</c:v>
                </c:pt>
              </c:numCache>
            </c:numRef>
          </c:xVal>
          <c:yVal>
            <c:numRef>
              <c:f>Eff_vs_IOUT!$AN$8:$AN$157</c:f>
              <c:numCache>
                <c:formatCode>General</c:formatCode>
                <c:ptCount val="150"/>
                <c:pt idx="0">
                  <c:v>0.00216666666666667</c:v>
                </c:pt>
                <c:pt idx="1">
                  <c:v>0.00433333333333333</c:v>
                </c:pt>
                <c:pt idx="2">
                  <c:v>0.0065</c:v>
                </c:pt>
                <c:pt idx="3">
                  <c:v>0.00866666666666667</c:v>
                </c:pt>
                <c:pt idx="4">
                  <c:v>0.0108333333333333</c:v>
                </c:pt>
                <c:pt idx="5">
                  <c:v>0.013</c:v>
                </c:pt>
                <c:pt idx="6">
                  <c:v>0.0151666666666667</c:v>
                </c:pt>
                <c:pt idx="7">
                  <c:v>0.0173333333333333</c:v>
                </c:pt>
                <c:pt idx="8">
                  <c:v>0.0195</c:v>
                </c:pt>
                <c:pt idx="9">
                  <c:v>0.0216666666666667</c:v>
                </c:pt>
                <c:pt idx="10">
                  <c:v>0.0238333333333333</c:v>
                </c:pt>
                <c:pt idx="11">
                  <c:v>0.026</c:v>
                </c:pt>
                <c:pt idx="12">
                  <c:v>0.0281666666666667</c:v>
                </c:pt>
                <c:pt idx="13">
                  <c:v>0.0303333333333333</c:v>
                </c:pt>
                <c:pt idx="14">
                  <c:v>0.0325</c:v>
                </c:pt>
                <c:pt idx="15">
                  <c:v>0.0346666666666667</c:v>
                </c:pt>
                <c:pt idx="16">
                  <c:v>0.0368333333333333</c:v>
                </c:pt>
                <c:pt idx="17">
                  <c:v>0.039</c:v>
                </c:pt>
                <c:pt idx="18">
                  <c:v>0.0411666666666667</c:v>
                </c:pt>
                <c:pt idx="19">
                  <c:v>0.0433333333333333</c:v>
                </c:pt>
                <c:pt idx="20">
                  <c:v>0.0455</c:v>
                </c:pt>
                <c:pt idx="21">
                  <c:v>0.0476666666666667</c:v>
                </c:pt>
                <c:pt idx="22">
                  <c:v>0.0498333333333333</c:v>
                </c:pt>
                <c:pt idx="23">
                  <c:v>0.052</c:v>
                </c:pt>
                <c:pt idx="24">
                  <c:v>0.0541666666666667</c:v>
                </c:pt>
                <c:pt idx="25">
                  <c:v>0.0563333333333333</c:v>
                </c:pt>
                <c:pt idx="26">
                  <c:v>0.0585</c:v>
                </c:pt>
                <c:pt idx="27">
                  <c:v>0.0606666666666667</c:v>
                </c:pt>
                <c:pt idx="28">
                  <c:v>0.0628333333333333</c:v>
                </c:pt>
                <c:pt idx="29">
                  <c:v>0.065</c:v>
                </c:pt>
                <c:pt idx="30">
                  <c:v>0.0671666666666667</c:v>
                </c:pt>
                <c:pt idx="31">
                  <c:v>0.0693333333333333</c:v>
                </c:pt>
                <c:pt idx="32">
                  <c:v>0.0715</c:v>
                </c:pt>
                <c:pt idx="33">
                  <c:v>0.0736666666666667</c:v>
                </c:pt>
                <c:pt idx="34">
                  <c:v>0.0758333333333333</c:v>
                </c:pt>
                <c:pt idx="35">
                  <c:v>0.078</c:v>
                </c:pt>
                <c:pt idx="36">
                  <c:v>0.0801666666666667</c:v>
                </c:pt>
                <c:pt idx="37">
                  <c:v>0.0823333333333333</c:v>
                </c:pt>
                <c:pt idx="38">
                  <c:v>0.0845</c:v>
                </c:pt>
                <c:pt idx="39">
                  <c:v>0.0866666666666667</c:v>
                </c:pt>
                <c:pt idx="40">
                  <c:v>0.0888333333333333</c:v>
                </c:pt>
                <c:pt idx="41">
                  <c:v>0.091</c:v>
                </c:pt>
                <c:pt idx="42">
                  <c:v>0.0931666666666667</c:v>
                </c:pt>
                <c:pt idx="43">
                  <c:v>0.0953333333333333</c:v>
                </c:pt>
                <c:pt idx="44">
                  <c:v>0.0975</c:v>
                </c:pt>
                <c:pt idx="45">
                  <c:v>0.0996666666666667</c:v>
                </c:pt>
                <c:pt idx="46">
                  <c:v>0.101833333333333</c:v>
                </c:pt>
                <c:pt idx="47">
                  <c:v>0.104</c:v>
                </c:pt>
                <c:pt idx="48">
                  <c:v>0.106166666666667</c:v>
                </c:pt>
                <c:pt idx="49">
                  <c:v>0.108333333333333</c:v>
                </c:pt>
                <c:pt idx="50">
                  <c:v>0.1105</c:v>
                </c:pt>
                <c:pt idx="51">
                  <c:v>0.112666666666667</c:v>
                </c:pt>
                <c:pt idx="52">
                  <c:v>0.114833333333333</c:v>
                </c:pt>
                <c:pt idx="53">
                  <c:v>0.117</c:v>
                </c:pt>
                <c:pt idx="54">
                  <c:v>0.119166666666667</c:v>
                </c:pt>
                <c:pt idx="55">
                  <c:v>0.121333333333333</c:v>
                </c:pt>
                <c:pt idx="56">
                  <c:v>0.1235</c:v>
                </c:pt>
                <c:pt idx="57">
                  <c:v>0.125666666666667</c:v>
                </c:pt>
                <c:pt idx="58">
                  <c:v>0.127833333333333</c:v>
                </c:pt>
                <c:pt idx="59">
                  <c:v>0.13</c:v>
                </c:pt>
                <c:pt idx="60">
                  <c:v>0.132166666666667</c:v>
                </c:pt>
                <c:pt idx="61">
                  <c:v>0.134333333333333</c:v>
                </c:pt>
                <c:pt idx="62">
                  <c:v>0.1365</c:v>
                </c:pt>
                <c:pt idx="63">
                  <c:v>0.138666666666667</c:v>
                </c:pt>
                <c:pt idx="64">
                  <c:v>0.140833333333333</c:v>
                </c:pt>
                <c:pt idx="65">
                  <c:v>0.143</c:v>
                </c:pt>
                <c:pt idx="66">
                  <c:v>0.145166666666667</c:v>
                </c:pt>
                <c:pt idx="67">
                  <c:v>0.147333333333333</c:v>
                </c:pt>
                <c:pt idx="68">
                  <c:v>0.1495</c:v>
                </c:pt>
                <c:pt idx="69">
                  <c:v>0.151666666666667</c:v>
                </c:pt>
                <c:pt idx="70">
                  <c:v>0.153833333333333</c:v>
                </c:pt>
                <c:pt idx="71">
                  <c:v>0.156</c:v>
                </c:pt>
                <c:pt idx="72">
                  <c:v>0.158166666666667</c:v>
                </c:pt>
                <c:pt idx="73">
                  <c:v>0.160333333333333</c:v>
                </c:pt>
                <c:pt idx="74">
                  <c:v>0.1625</c:v>
                </c:pt>
                <c:pt idx="75">
                  <c:v>0.164666666666667</c:v>
                </c:pt>
                <c:pt idx="76">
                  <c:v>0.166833333333333</c:v>
                </c:pt>
                <c:pt idx="77">
                  <c:v>0.169</c:v>
                </c:pt>
                <c:pt idx="78">
                  <c:v>0.171166666666667</c:v>
                </c:pt>
                <c:pt idx="79">
                  <c:v>0.173333333333333</c:v>
                </c:pt>
                <c:pt idx="80">
                  <c:v>0.1755</c:v>
                </c:pt>
                <c:pt idx="81">
                  <c:v>0.177666666666667</c:v>
                </c:pt>
                <c:pt idx="82">
                  <c:v>0.179833333333333</c:v>
                </c:pt>
                <c:pt idx="83">
                  <c:v>0.182</c:v>
                </c:pt>
                <c:pt idx="84">
                  <c:v>0.184166666666667</c:v>
                </c:pt>
                <c:pt idx="85">
                  <c:v>0.186333333333333</c:v>
                </c:pt>
                <c:pt idx="86">
                  <c:v>0.1885</c:v>
                </c:pt>
                <c:pt idx="87">
                  <c:v>0.190666666666667</c:v>
                </c:pt>
                <c:pt idx="88">
                  <c:v>0.192833333333333</c:v>
                </c:pt>
                <c:pt idx="89">
                  <c:v>0.195</c:v>
                </c:pt>
                <c:pt idx="90">
                  <c:v>0.197166666666667</c:v>
                </c:pt>
                <c:pt idx="91">
                  <c:v>0.199333333333333</c:v>
                </c:pt>
                <c:pt idx="92">
                  <c:v>0.2015</c:v>
                </c:pt>
                <c:pt idx="93">
                  <c:v>0.203666666666667</c:v>
                </c:pt>
                <c:pt idx="94">
                  <c:v>0.205833333333333</c:v>
                </c:pt>
                <c:pt idx="95">
                  <c:v>0.208</c:v>
                </c:pt>
                <c:pt idx="96">
                  <c:v>0.210166666666667</c:v>
                </c:pt>
                <c:pt idx="97">
                  <c:v>0.212333333333333</c:v>
                </c:pt>
                <c:pt idx="98">
                  <c:v>0.2145</c:v>
                </c:pt>
                <c:pt idx="99">
                  <c:v>0.216666666666667</c:v>
                </c:pt>
                <c:pt idx="100">
                  <c:v>0.218833333333333</c:v>
                </c:pt>
                <c:pt idx="101">
                  <c:v>0.221</c:v>
                </c:pt>
                <c:pt idx="102">
                  <c:v>0.223166666666667</c:v>
                </c:pt>
                <c:pt idx="103">
                  <c:v>0.225333333333333</c:v>
                </c:pt>
                <c:pt idx="104">
                  <c:v>0.2275</c:v>
                </c:pt>
                <c:pt idx="105">
                  <c:v>0.229666666666667</c:v>
                </c:pt>
                <c:pt idx="106">
                  <c:v>0.231833333333333</c:v>
                </c:pt>
                <c:pt idx="107">
                  <c:v>0.234</c:v>
                </c:pt>
                <c:pt idx="108">
                  <c:v>0.236166666666667</c:v>
                </c:pt>
                <c:pt idx="109">
                  <c:v>0.238333333333333</c:v>
                </c:pt>
                <c:pt idx="110">
                  <c:v>0.2405</c:v>
                </c:pt>
                <c:pt idx="111">
                  <c:v>0.242666666666667</c:v>
                </c:pt>
                <c:pt idx="112">
                  <c:v>0.244833333333333</c:v>
                </c:pt>
                <c:pt idx="113">
                  <c:v>0.247</c:v>
                </c:pt>
                <c:pt idx="114">
                  <c:v>0.249166666666667</c:v>
                </c:pt>
                <c:pt idx="115">
                  <c:v>0.251333333333333</c:v>
                </c:pt>
                <c:pt idx="116">
                  <c:v>0.2535</c:v>
                </c:pt>
                <c:pt idx="117">
                  <c:v>0.255666666666667</c:v>
                </c:pt>
                <c:pt idx="118">
                  <c:v>0.257833333333333</c:v>
                </c:pt>
                <c:pt idx="119">
                  <c:v>0.26</c:v>
                </c:pt>
                <c:pt idx="120">
                  <c:v>0.262166666666667</c:v>
                </c:pt>
                <c:pt idx="121">
                  <c:v>0.264333333333333</c:v>
                </c:pt>
                <c:pt idx="122">
                  <c:v>0.2665</c:v>
                </c:pt>
                <c:pt idx="123">
                  <c:v>0.268666666666667</c:v>
                </c:pt>
                <c:pt idx="124">
                  <c:v>0.270833333333333</c:v>
                </c:pt>
                <c:pt idx="125">
                  <c:v>0.273</c:v>
                </c:pt>
                <c:pt idx="126">
                  <c:v>0.275166666666667</c:v>
                </c:pt>
                <c:pt idx="127">
                  <c:v>0.277333333333333</c:v>
                </c:pt>
                <c:pt idx="128">
                  <c:v>0.2795</c:v>
                </c:pt>
                <c:pt idx="129">
                  <c:v>0.281666666666667</c:v>
                </c:pt>
                <c:pt idx="130">
                  <c:v>0.283833333333333</c:v>
                </c:pt>
                <c:pt idx="131">
                  <c:v>0.286</c:v>
                </c:pt>
                <c:pt idx="132">
                  <c:v>0.288166666666667</c:v>
                </c:pt>
                <c:pt idx="133">
                  <c:v>0.290333333333333</c:v>
                </c:pt>
                <c:pt idx="134">
                  <c:v>0.2925</c:v>
                </c:pt>
                <c:pt idx="135">
                  <c:v>0.294666666666667</c:v>
                </c:pt>
                <c:pt idx="136">
                  <c:v>0.296833333333333</c:v>
                </c:pt>
                <c:pt idx="137">
                  <c:v>0.299</c:v>
                </c:pt>
                <c:pt idx="138">
                  <c:v>0.301166666666667</c:v>
                </c:pt>
                <c:pt idx="139">
                  <c:v>0.303333333333333</c:v>
                </c:pt>
                <c:pt idx="140">
                  <c:v>0.3055</c:v>
                </c:pt>
                <c:pt idx="141">
                  <c:v>0.307666666666667</c:v>
                </c:pt>
                <c:pt idx="142">
                  <c:v>0.309833333333333</c:v>
                </c:pt>
                <c:pt idx="143">
                  <c:v>0.312</c:v>
                </c:pt>
                <c:pt idx="144">
                  <c:v>0.314166666666667</c:v>
                </c:pt>
                <c:pt idx="145">
                  <c:v>0.316333333333333</c:v>
                </c:pt>
                <c:pt idx="146">
                  <c:v>0.3185</c:v>
                </c:pt>
                <c:pt idx="147">
                  <c:v>0.320666666666667</c:v>
                </c:pt>
                <c:pt idx="148">
                  <c:v>0.322833333333333</c:v>
                </c:pt>
                <c:pt idx="149">
                  <c:v>0.325</c:v>
                </c:pt>
              </c:numCache>
            </c:numRef>
          </c:yVal>
          <c:smooth val="1"/>
        </c:ser>
        <c:ser>
          <c:idx val="3"/>
          <c:order val="3"/>
          <c:tx>
            <c:strRef>
              <c:f>"RCS"</c:f>
              <c:strCache>
                <c:ptCount val="1"/>
                <c:pt idx="0">
                  <c:v>RCS</c:v>
                </c:pt>
              </c:strCache>
            </c:strRef>
          </c:tx>
          <c:spPr>
            <a:ln w="28575" cap="rnd" cmpd="sng" algn="ctr">
              <a:solidFill>
                <a:schemeClr val="accent5">
                  <a:lumMod val="75000"/>
                </a:schemeClr>
              </a:solidFill>
              <a:prstDash val="lgDashDotDot"/>
              <a:round/>
            </a:ln>
          </c:spPr>
          <c:marker>
            <c:symbol val="none"/>
          </c:marker>
          <c:dLbls>
            <c:delete val="1"/>
          </c:dLbls>
          <c:xVal>
            <c:numRef>
              <c:f>Eff_vs_IOUT!$S$7:$S$157</c:f>
              <c:numCache>
                <c:formatCode>General</c:formatCode>
                <c:ptCount val="151"/>
                <c:pt idx="0">
                  <c:v>0</c:v>
                </c:pt>
                <c:pt idx="1">
                  <c:v>0.00666666666666667</c:v>
                </c:pt>
                <c:pt idx="2">
                  <c:v>0.0133333333333333</c:v>
                </c:pt>
                <c:pt idx="3">
                  <c:v>0.02</c:v>
                </c:pt>
                <c:pt idx="4">
                  <c:v>0.0266666666666667</c:v>
                </c:pt>
                <c:pt idx="5">
                  <c:v>0.0333333333333333</c:v>
                </c:pt>
                <c:pt idx="6">
                  <c:v>0.04</c:v>
                </c:pt>
                <c:pt idx="7">
                  <c:v>0.0466666666666667</c:v>
                </c:pt>
                <c:pt idx="8">
                  <c:v>0.0533333333333333</c:v>
                </c:pt>
                <c:pt idx="9">
                  <c:v>0.06</c:v>
                </c:pt>
                <c:pt idx="10">
                  <c:v>0.0666666666666667</c:v>
                </c:pt>
                <c:pt idx="11">
                  <c:v>0.0733333333333333</c:v>
                </c:pt>
                <c:pt idx="12">
                  <c:v>0.08</c:v>
                </c:pt>
                <c:pt idx="13">
                  <c:v>0.0866666666666667</c:v>
                </c:pt>
                <c:pt idx="14">
                  <c:v>0.0933333333333333</c:v>
                </c:pt>
                <c:pt idx="15">
                  <c:v>0.1</c:v>
                </c:pt>
                <c:pt idx="16">
                  <c:v>0.106666666666667</c:v>
                </c:pt>
                <c:pt idx="17">
                  <c:v>0.113333333333333</c:v>
                </c:pt>
                <c:pt idx="18">
                  <c:v>0.12</c:v>
                </c:pt>
                <c:pt idx="19">
                  <c:v>0.126666666666667</c:v>
                </c:pt>
                <c:pt idx="20">
                  <c:v>0.133333333333333</c:v>
                </c:pt>
                <c:pt idx="21">
                  <c:v>0.14</c:v>
                </c:pt>
                <c:pt idx="22">
                  <c:v>0.146666666666667</c:v>
                </c:pt>
                <c:pt idx="23">
                  <c:v>0.153333333333333</c:v>
                </c:pt>
                <c:pt idx="24">
                  <c:v>0.16</c:v>
                </c:pt>
                <c:pt idx="25">
                  <c:v>0.166666666666667</c:v>
                </c:pt>
                <c:pt idx="26">
                  <c:v>0.173333333333333</c:v>
                </c:pt>
                <c:pt idx="27">
                  <c:v>0.18</c:v>
                </c:pt>
                <c:pt idx="28">
                  <c:v>0.186666666666667</c:v>
                </c:pt>
                <c:pt idx="29">
                  <c:v>0.193333333333333</c:v>
                </c:pt>
                <c:pt idx="30">
                  <c:v>0.2</c:v>
                </c:pt>
                <c:pt idx="31">
                  <c:v>0.206666666666667</c:v>
                </c:pt>
                <c:pt idx="32">
                  <c:v>0.213333333333333</c:v>
                </c:pt>
                <c:pt idx="33">
                  <c:v>0.22</c:v>
                </c:pt>
                <c:pt idx="34">
                  <c:v>0.226666666666667</c:v>
                </c:pt>
                <c:pt idx="35">
                  <c:v>0.233333333333333</c:v>
                </c:pt>
                <c:pt idx="36">
                  <c:v>0.24</c:v>
                </c:pt>
                <c:pt idx="37">
                  <c:v>0.246666666666667</c:v>
                </c:pt>
                <c:pt idx="38">
                  <c:v>0.253333333333333</c:v>
                </c:pt>
                <c:pt idx="39">
                  <c:v>0.26</c:v>
                </c:pt>
                <c:pt idx="40">
                  <c:v>0.266666666666667</c:v>
                </c:pt>
                <c:pt idx="41">
                  <c:v>0.273333333333333</c:v>
                </c:pt>
                <c:pt idx="42">
                  <c:v>0.28</c:v>
                </c:pt>
                <c:pt idx="43">
                  <c:v>0.286666666666667</c:v>
                </c:pt>
                <c:pt idx="44">
                  <c:v>0.293333333333333</c:v>
                </c:pt>
                <c:pt idx="45">
                  <c:v>0.3</c:v>
                </c:pt>
                <c:pt idx="46">
                  <c:v>0.306666666666667</c:v>
                </c:pt>
                <c:pt idx="47">
                  <c:v>0.313333333333333</c:v>
                </c:pt>
                <c:pt idx="48">
                  <c:v>0.32</c:v>
                </c:pt>
                <c:pt idx="49">
                  <c:v>0.326666666666667</c:v>
                </c:pt>
                <c:pt idx="50">
                  <c:v>0.333333333333333</c:v>
                </c:pt>
                <c:pt idx="51">
                  <c:v>0.34</c:v>
                </c:pt>
                <c:pt idx="52">
                  <c:v>0.346666666666667</c:v>
                </c:pt>
                <c:pt idx="53">
                  <c:v>0.353333333333333</c:v>
                </c:pt>
                <c:pt idx="54">
                  <c:v>0.36</c:v>
                </c:pt>
                <c:pt idx="55">
                  <c:v>0.366666666666667</c:v>
                </c:pt>
                <c:pt idx="56">
                  <c:v>0.373333333333333</c:v>
                </c:pt>
                <c:pt idx="57">
                  <c:v>0.38</c:v>
                </c:pt>
                <c:pt idx="58">
                  <c:v>0.386666666666667</c:v>
                </c:pt>
                <c:pt idx="59">
                  <c:v>0.393333333333333</c:v>
                </c:pt>
                <c:pt idx="60">
                  <c:v>0.4</c:v>
                </c:pt>
                <c:pt idx="61">
                  <c:v>0.406666666666667</c:v>
                </c:pt>
                <c:pt idx="62">
                  <c:v>0.413333333333333</c:v>
                </c:pt>
                <c:pt idx="63">
                  <c:v>0.42</c:v>
                </c:pt>
                <c:pt idx="64">
                  <c:v>0.426666666666667</c:v>
                </c:pt>
                <c:pt idx="65">
                  <c:v>0.433333333333333</c:v>
                </c:pt>
                <c:pt idx="66">
                  <c:v>0.44</c:v>
                </c:pt>
                <c:pt idx="67">
                  <c:v>0.446666666666667</c:v>
                </c:pt>
                <c:pt idx="68">
                  <c:v>0.453333333333333</c:v>
                </c:pt>
                <c:pt idx="69">
                  <c:v>0.46</c:v>
                </c:pt>
                <c:pt idx="70">
                  <c:v>0.466666666666667</c:v>
                </c:pt>
                <c:pt idx="71">
                  <c:v>0.473333333333333</c:v>
                </c:pt>
                <c:pt idx="72">
                  <c:v>0.48</c:v>
                </c:pt>
                <c:pt idx="73">
                  <c:v>0.486666666666667</c:v>
                </c:pt>
                <c:pt idx="74">
                  <c:v>0.493333333333333</c:v>
                </c:pt>
                <c:pt idx="75">
                  <c:v>0.5</c:v>
                </c:pt>
                <c:pt idx="76">
                  <c:v>0.506666666666667</c:v>
                </c:pt>
                <c:pt idx="77">
                  <c:v>0.513333333333333</c:v>
                </c:pt>
                <c:pt idx="78">
                  <c:v>0.52</c:v>
                </c:pt>
                <c:pt idx="79">
                  <c:v>0.526666666666667</c:v>
                </c:pt>
                <c:pt idx="80">
                  <c:v>0.533333333333333</c:v>
                </c:pt>
                <c:pt idx="81">
                  <c:v>0.54</c:v>
                </c:pt>
                <c:pt idx="82">
                  <c:v>0.546666666666667</c:v>
                </c:pt>
                <c:pt idx="83">
                  <c:v>0.553333333333333</c:v>
                </c:pt>
                <c:pt idx="84">
                  <c:v>0.56</c:v>
                </c:pt>
                <c:pt idx="85">
                  <c:v>0.566666666666667</c:v>
                </c:pt>
                <c:pt idx="86">
                  <c:v>0.573333333333333</c:v>
                </c:pt>
                <c:pt idx="87">
                  <c:v>0.58</c:v>
                </c:pt>
                <c:pt idx="88">
                  <c:v>0.586666666666667</c:v>
                </c:pt>
                <c:pt idx="89">
                  <c:v>0.593333333333333</c:v>
                </c:pt>
                <c:pt idx="90">
                  <c:v>0.6</c:v>
                </c:pt>
                <c:pt idx="91">
                  <c:v>0.606666666666667</c:v>
                </c:pt>
                <c:pt idx="92">
                  <c:v>0.613333333333333</c:v>
                </c:pt>
                <c:pt idx="93">
                  <c:v>0.62</c:v>
                </c:pt>
                <c:pt idx="94">
                  <c:v>0.626666666666667</c:v>
                </c:pt>
                <c:pt idx="95">
                  <c:v>0.633333333333333</c:v>
                </c:pt>
                <c:pt idx="96">
                  <c:v>0.64</c:v>
                </c:pt>
                <c:pt idx="97">
                  <c:v>0.646666666666667</c:v>
                </c:pt>
                <c:pt idx="98">
                  <c:v>0.653333333333333</c:v>
                </c:pt>
                <c:pt idx="99">
                  <c:v>0.66</c:v>
                </c:pt>
                <c:pt idx="100">
                  <c:v>0.666666666666667</c:v>
                </c:pt>
                <c:pt idx="101">
                  <c:v>0.673333333333333</c:v>
                </c:pt>
                <c:pt idx="102">
                  <c:v>0.68</c:v>
                </c:pt>
                <c:pt idx="103">
                  <c:v>0.686666666666667</c:v>
                </c:pt>
                <c:pt idx="104">
                  <c:v>0.693333333333333</c:v>
                </c:pt>
                <c:pt idx="105">
                  <c:v>0.7</c:v>
                </c:pt>
                <c:pt idx="106">
                  <c:v>0.706666666666667</c:v>
                </c:pt>
                <c:pt idx="107">
                  <c:v>0.713333333333333</c:v>
                </c:pt>
                <c:pt idx="108">
                  <c:v>0.72</c:v>
                </c:pt>
                <c:pt idx="109">
                  <c:v>0.726666666666667</c:v>
                </c:pt>
                <c:pt idx="110">
                  <c:v>0.733333333333333</c:v>
                </c:pt>
                <c:pt idx="111">
                  <c:v>0.74</c:v>
                </c:pt>
                <c:pt idx="112">
                  <c:v>0.746666666666667</c:v>
                </c:pt>
                <c:pt idx="113">
                  <c:v>0.753333333333333</c:v>
                </c:pt>
                <c:pt idx="114">
                  <c:v>0.76</c:v>
                </c:pt>
                <c:pt idx="115">
                  <c:v>0.766666666666667</c:v>
                </c:pt>
                <c:pt idx="116">
                  <c:v>0.773333333333333</c:v>
                </c:pt>
                <c:pt idx="117">
                  <c:v>0.78</c:v>
                </c:pt>
                <c:pt idx="118">
                  <c:v>0.786666666666667</c:v>
                </c:pt>
                <c:pt idx="119">
                  <c:v>0.793333333333333</c:v>
                </c:pt>
                <c:pt idx="120">
                  <c:v>0.8</c:v>
                </c:pt>
                <c:pt idx="121">
                  <c:v>0.806666666666667</c:v>
                </c:pt>
                <c:pt idx="122">
                  <c:v>0.813333333333333</c:v>
                </c:pt>
                <c:pt idx="123">
                  <c:v>0.82</c:v>
                </c:pt>
                <c:pt idx="124">
                  <c:v>0.826666666666667</c:v>
                </c:pt>
                <c:pt idx="125">
                  <c:v>0.833333333333333</c:v>
                </c:pt>
                <c:pt idx="126">
                  <c:v>0.84</c:v>
                </c:pt>
                <c:pt idx="127">
                  <c:v>0.846666666666667</c:v>
                </c:pt>
                <c:pt idx="128">
                  <c:v>0.853333333333333</c:v>
                </c:pt>
                <c:pt idx="129">
                  <c:v>0.86</c:v>
                </c:pt>
                <c:pt idx="130">
                  <c:v>0.866666666666667</c:v>
                </c:pt>
                <c:pt idx="131">
                  <c:v>0.873333333333333</c:v>
                </c:pt>
                <c:pt idx="132">
                  <c:v>0.88</c:v>
                </c:pt>
                <c:pt idx="133">
                  <c:v>0.886666666666667</c:v>
                </c:pt>
                <c:pt idx="134">
                  <c:v>0.893333333333333</c:v>
                </c:pt>
                <c:pt idx="135">
                  <c:v>0.9</c:v>
                </c:pt>
                <c:pt idx="136">
                  <c:v>0.906666666666667</c:v>
                </c:pt>
                <c:pt idx="137">
                  <c:v>0.913333333333333</c:v>
                </c:pt>
                <c:pt idx="138">
                  <c:v>0.92</c:v>
                </c:pt>
                <c:pt idx="139">
                  <c:v>0.926666666666667</c:v>
                </c:pt>
                <c:pt idx="140">
                  <c:v>0.933333333333333</c:v>
                </c:pt>
                <c:pt idx="141">
                  <c:v>0.94</c:v>
                </c:pt>
                <c:pt idx="142">
                  <c:v>0.946666666666667</c:v>
                </c:pt>
                <c:pt idx="143">
                  <c:v>0.953333333333333</c:v>
                </c:pt>
                <c:pt idx="144">
                  <c:v>0.96</c:v>
                </c:pt>
                <c:pt idx="145">
                  <c:v>0.966666666666667</c:v>
                </c:pt>
                <c:pt idx="146">
                  <c:v>0.973333333333333</c:v>
                </c:pt>
                <c:pt idx="147">
                  <c:v>0.98</c:v>
                </c:pt>
                <c:pt idx="148">
                  <c:v>0.986666666666667</c:v>
                </c:pt>
                <c:pt idx="149">
                  <c:v>0.993333333333333</c:v>
                </c:pt>
                <c:pt idx="150">
                  <c:v>1</c:v>
                </c:pt>
              </c:numCache>
            </c:numRef>
          </c:xVal>
          <c:yVal>
            <c:numRef>
              <c:f>Eff_vs_IOUT!$AO$7:$AO$157</c:f>
              <c:numCache>
                <c:formatCode>General</c:formatCode>
                <c:ptCount val="151"/>
                <c:pt idx="0">
                  <c:v>0</c:v>
                </c:pt>
                <c:pt idx="1">
                  <c:v>1.24679123191324e-5</c:v>
                </c:pt>
                <c:pt idx="2">
                  <c:v>4.10155616010747e-5</c:v>
                </c:pt>
                <c:pt idx="3">
                  <c:v>8.41623830529676e-5</c:v>
                </c:pt>
                <c:pt idx="4">
                  <c:v>0.000141772284700086</c:v>
                </c:pt>
                <c:pt idx="5">
                  <c:v>0.000213975167215039</c:v>
                </c:pt>
                <c:pt idx="6">
                  <c:v>0.000301001874476159</c:v>
                </c:pt>
                <c:pt idx="7">
                  <c:v>0.00040312963322975</c:v>
                </c:pt>
                <c:pt idx="8">
                  <c:v>8.99458899049501e-5</c:v>
                </c:pt>
                <c:pt idx="9">
                  <c:v>0.000101438729411123</c:v>
                </c:pt>
                <c:pt idx="10">
                  <c:v>0.000114283667682728</c:v>
                </c:pt>
                <c:pt idx="11">
                  <c:v>0.000128480704719765</c:v>
                </c:pt>
                <c:pt idx="12">
                  <c:v>0.000144029840522234</c:v>
                </c:pt>
                <c:pt idx="13">
                  <c:v>0.000160931075090135</c:v>
                </c:pt>
                <c:pt idx="14">
                  <c:v>0.000179184408423469</c:v>
                </c:pt>
                <c:pt idx="15">
                  <c:v>0.000198789840522234</c:v>
                </c:pt>
                <c:pt idx="16">
                  <c:v>0.000219747371386432</c:v>
                </c:pt>
                <c:pt idx="17">
                  <c:v>0.000242057001016061</c:v>
                </c:pt>
                <c:pt idx="18">
                  <c:v>0.000265718729411123</c:v>
                </c:pt>
                <c:pt idx="19">
                  <c:v>0.000290732556571617</c:v>
                </c:pt>
                <c:pt idx="20">
                  <c:v>0.000317098482497543</c:v>
                </c:pt>
                <c:pt idx="21">
                  <c:v>0.000344816507188901</c:v>
                </c:pt>
                <c:pt idx="22">
                  <c:v>0.000373886630645691</c:v>
                </c:pt>
                <c:pt idx="23">
                  <c:v>0.000404308852867913</c:v>
                </c:pt>
                <c:pt idx="24">
                  <c:v>0.000436083173855567</c:v>
                </c:pt>
                <c:pt idx="25">
                  <c:v>0.000469209593608654</c:v>
                </c:pt>
                <c:pt idx="26">
                  <c:v>0.000503688112127172</c:v>
                </c:pt>
                <c:pt idx="27">
                  <c:v>0.000539518729411123</c:v>
                </c:pt>
                <c:pt idx="28">
                  <c:v>0.000576701445460506</c:v>
                </c:pt>
                <c:pt idx="29">
                  <c:v>0.000615236260275321</c:v>
                </c:pt>
                <c:pt idx="30">
                  <c:v>0.000655123173855567</c:v>
                </c:pt>
                <c:pt idx="31">
                  <c:v>0.000696362186201247</c:v>
                </c:pt>
                <c:pt idx="32">
                  <c:v>0.000738953297312358</c:v>
                </c:pt>
                <c:pt idx="33">
                  <c:v>0.000782896507188901</c:v>
                </c:pt>
                <c:pt idx="34">
                  <c:v>0.000828191815830876</c:v>
                </c:pt>
                <c:pt idx="35">
                  <c:v>0.000874839223238283</c:v>
                </c:pt>
                <c:pt idx="36">
                  <c:v>0.000922838729411123</c:v>
                </c:pt>
                <c:pt idx="37">
                  <c:v>0.000972190334349395</c:v>
                </c:pt>
                <c:pt idx="38">
                  <c:v>0.0010228940380531</c:v>
                </c:pt>
                <c:pt idx="39">
                  <c:v>0.00107494984052223</c:v>
                </c:pt>
                <c:pt idx="40">
                  <c:v>0.0011283577417568</c:v>
                </c:pt>
                <c:pt idx="41">
                  <c:v>0.0011831177417568</c:v>
                </c:pt>
                <c:pt idx="42">
                  <c:v>0.00123922984052223</c:v>
                </c:pt>
                <c:pt idx="43">
                  <c:v>0.0012966940380531</c:v>
                </c:pt>
                <c:pt idx="44">
                  <c:v>0.00135551033434939</c:v>
                </c:pt>
                <c:pt idx="45">
                  <c:v>0.00141567872941112</c:v>
                </c:pt>
                <c:pt idx="46">
                  <c:v>0.00147719922323828</c:v>
                </c:pt>
                <c:pt idx="47">
                  <c:v>0.00154007181583088</c:v>
                </c:pt>
                <c:pt idx="48">
                  <c:v>0.0016042965071889</c:v>
                </c:pt>
                <c:pt idx="49">
                  <c:v>0.00166987329731236</c:v>
                </c:pt>
                <c:pt idx="50">
                  <c:v>0.00173680218620125</c:v>
                </c:pt>
                <c:pt idx="51">
                  <c:v>0.00180508317385557</c:v>
                </c:pt>
                <c:pt idx="52">
                  <c:v>0.00187471626027532</c:v>
                </c:pt>
                <c:pt idx="53">
                  <c:v>0.00194570144546051</c:v>
                </c:pt>
                <c:pt idx="54">
                  <c:v>0.00201803872941112</c:v>
                </c:pt>
                <c:pt idx="55">
                  <c:v>0.00209172811212717</c:v>
                </c:pt>
                <c:pt idx="56">
                  <c:v>0.00216676959360865</c:v>
                </c:pt>
                <c:pt idx="57">
                  <c:v>0.00224316317385557</c:v>
                </c:pt>
                <c:pt idx="58">
                  <c:v>0.00232090885286791</c:v>
                </c:pt>
                <c:pt idx="59">
                  <c:v>0.00240000663064569</c:v>
                </c:pt>
                <c:pt idx="60">
                  <c:v>0.0024804565071889</c:v>
                </c:pt>
                <c:pt idx="61">
                  <c:v>0.00256225848249754</c:v>
                </c:pt>
                <c:pt idx="62">
                  <c:v>0.00264541255657162</c:v>
                </c:pt>
                <c:pt idx="63">
                  <c:v>0.00272991872941112</c:v>
                </c:pt>
                <c:pt idx="64">
                  <c:v>0.00281577700101606</c:v>
                </c:pt>
                <c:pt idx="65">
                  <c:v>0.00290298737138643</c:v>
                </c:pt>
                <c:pt idx="66">
                  <c:v>0.00299154984052224</c:v>
                </c:pt>
                <c:pt idx="67">
                  <c:v>0.00308146440842347</c:v>
                </c:pt>
                <c:pt idx="68">
                  <c:v>0.00317273107509014</c:v>
                </c:pt>
                <c:pt idx="69">
                  <c:v>0.00326534984052223</c:v>
                </c:pt>
                <c:pt idx="70">
                  <c:v>0.00335932070471977</c:v>
                </c:pt>
                <c:pt idx="71">
                  <c:v>0.00345464366768273</c:v>
                </c:pt>
                <c:pt idx="72">
                  <c:v>0.00355131872941112</c:v>
                </c:pt>
                <c:pt idx="73">
                  <c:v>0.00364934588990495</c:v>
                </c:pt>
                <c:pt idx="74">
                  <c:v>0.00374872514916421</c:v>
                </c:pt>
                <c:pt idx="75">
                  <c:v>0.0038494565071889</c:v>
                </c:pt>
                <c:pt idx="76">
                  <c:v>0.00395153996397902</c:v>
                </c:pt>
                <c:pt idx="77">
                  <c:v>0.00405497551953458</c:v>
                </c:pt>
                <c:pt idx="78">
                  <c:v>0.00415976317385557</c:v>
                </c:pt>
                <c:pt idx="79">
                  <c:v>0.00426590292694199</c:v>
                </c:pt>
                <c:pt idx="80">
                  <c:v>0.00437339477879384</c:v>
                </c:pt>
                <c:pt idx="81">
                  <c:v>0.00448223872941112</c:v>
                </c:pt>
                <c:pt idx="82">
                  <c:v>0.00459243477879384</c:v>
                </c:pt>
                <c:pt idx="83">
                  <c:v>0.00470398292694199</c:v>
                </c:pt>
                <c:pt idx="84">
                  <c:v>0.00481688317385557</c:v>
                </c:pt>
                <c:pt idx="85">
                  <c:v>0.00493113551953458</c:v>
                </c:pt>
                <c:pt idx="86">
                  <c:v>0.00504673996397903</c:v>
                </c:pt>
                <c:pt idx="87">
                  <c:v>0.0051636965071889</c:v>
                </c:pt>
                <c:pt idx="88">
                  <c:v>0.00528200514916421</c:v>
                </c:pt>
                <c:pt idx="89">
                  <c:v>0.00540166588990495</c:v>
                </c:pt>
                <c:pt idx="90">
                  <c:v>0.00552267872941113</c:v>
                </c:pt>
                <c:pt idx="91">
                  <c:v>0.00564504366768273</c:v>
                </c:pt>
                <c:pt idx="92">
                  <c:v>0.00576876070471977</c:v>
                </c:pt>
                <c:pt idx="93">
                  <c:v>0.00589382984052223</c:v>
                </c:pt>
                <c:pt idx="94">
                  <c:v>0.00602025107509014</c:v>
                </c:pt>
                <c:pt idx="95">
                  <c:v>0.00614802440842347</c:v>
                </c:pt>
                <c:pt idx="96">
                  <c:v>0.00627714984052224</c:v>
                </c:pt>
                <c:pt idx="97">
                  <c:v>0.00640762737138643</c:v>
                </c:pt>
                <c:pt idx="98">
                  <c:v>0.00653945700101606</c:v>
                </c:pt>
                <c:pt idx="99">
                  <c:v>0.00667263872941112</c:v>
                </c:pt>
                <c:pt idx="100">
                  <c:v>0.00680717255657162</c:v>
                </c:pt>
                <c:pt idx="101">
                  <c:v>0.00694305848249754</c:v>
                </c:pt>
                <c:pt idx="102">
                  <c:v>0.0070802965071889</c:v>
                </c:pt>
                <c:pt idx="103">
                  <c:v>0.00721888663064569</c:v>
                </c:pt>
                <c:pt idx="104">
                  <c:v>0.00735882885286792</c:v>
                </c:pt>
                <c:pt idx="105">
                  <c:v>0.00750012317385557</c:v>
                </c:pt>
                <c:pt idx="106">
                  <c:v>0.00764276959360866</c:v>
                </c:pt>
                <c:pt idx="107">
                  <c:v>0.00778676811212718</c:v>
                </c:pt>
                <c:pt idx="108">
                  <c:v>0.00793211872941113</c:v>
                </c:pt>
                <c:pt idx="109">
                  <c:v>0.00807882144546051</c:v>
                </c:pt>
                <c:pt idx="110">
                  <c:v>0.00822687626027532</c:v>
                </c:pt>
                <c:pt idx="111">
                  <c:v>0.00837628317385557</c:v>
                </c:pt>
                <c:pt idx="112">
                  <c:v>0.00852704218620125</c:v>
                </c:pt>
                <c:pt idx="113">
                  <c:v>0.00867915329731236</c:v>
                </c:pt>
                <c:pt idx="114">
                  <c:v>0.0088326165071889</c:v>
                </c:pt>
                <c:pt idx="115">
                  <c:v>0.00898743181583088</c:v>
                </c:pt>
                <c:pt idx="116">
                  <c:v>0.00914359922323829</c:v>
                </c:pt>
                <c:pt idx="117">
                  <c:v>0.00930111872941113</c:v>
                </c:pt>
                <c:pt idx="118">
                  <c:v>0.0094599903343494</c:v>
                </c:pt>
                <c:pt idx="119">
                  <c:v>0.0096202140380531</c:v>
                </c:pt>
                <c:pt idx="120">
                  <c:v>0.00978178984052223</c:v>
                </c:pt>
                <c:pt idx="121">
                  <c:v>0.0099447177417568</c:v>
                </c:pt>
                <c:pt idx="122">
                  <c:v>0.0101089977417568</c:v>
                </c:pt>
                <c:pt idx="123">
                  <c:v>0.0102746298405222</c:v>
                </c:pt>
                <c:pt idx="124">
                  <c:v>0.0104416140380531</c:v>
                </c:pt>
                <c:pt idx="125">
                  <c:v>0.0106099503343494</c:v>
                </c:pt>
                <c:pt idx="126">
                  <c:v>0.0107796387294111</c:v>
                </c:pt>
                <c:pt idx="127">
                  <c:v>0.0109506792232383</c:v>
                </c:pt>
                <c:pt idx="128">
                  <c:v>0.0111230718158309</c:v>
                </c:pt>
                <c:pt idx="129">
                  <c:v>0.0112968165071889</c:v>
                </c:pt>
                <c:pt idx="130">
                  <c:v>0.0114719132973124</c:v>
                </c:pt>
                <c:pt idx="131">
                  <c:v>0.0116483621862012</c:v>
                </c:pt>
                <c:pt idx="132">
                  <c:v>0.0118261631738556</c:v>
                </c:pt>
                <c:pt idx="133">
                  <c:v>0.0120053162602753</c:v>
                </c:pt>
                <c:pt idx="134">
                  <c:v>0.0121858214454605</c:v>
                </c:pt>
                <c:pt idx="135">
                  <c:v>0.0123676787294111</c:v>
                </c:pt>
                <c:pt idx="136">
                  <c:v>0.0125508881121272</c:v>
                </c:pt>
                <c:pt idx="137">
                  <c:v>0.0127354495936087</c:v>
                </c:pt>
                <c:pt idx="138">
                  <c:v>0.0129213631738556</c:v>
                </c:pt>
                <c:pt idx="139">
                  <c:v>0.0131086288528679</c:v>
                </c:pt>
                <c:pt idx="140">
                  <c:v>0.0132972466306457</c:v>
                </c:pt>
                <c:pt idx="141">
                  <c:v>0.0134872165071889</c:v>
                </c:pt>
                <c:pt idx="142">
                  <c:v>0.0136785384824975</c:v>
                </c:pt>
                <c:pt idx="143">
                  <c:v>0.0138712125565716</c:v>
                </c:pt>
                <c:pt idx="144">
                  <c:v>0.0140652387294111</c:v>
                </c:pt>
                <c:pt idx="145">
                  <c:v>0.0142606170010161</c:v>
                </c:pt>
                <c:pt idx="146">
                  <c:v>0.0144573473713864</c:v>
                </c:pt>
                <c:pt idx="147">
                  <c:v>0.0146554298405222</c:v>
                </c:pt>
                <c:pt idx="148">
                  <c:v>0.0148548644084235</c:v>
                </c:pt>
                <c:pt idx="149">
                  <c:v>0.0150556510750901</c:v>
                </c:pt>
                <c:pt idx="150">
                  <c:v>0.0152577898405222</c:v>
                </c:pt>
              </c:numCache>
            </c:numRef>
          </c:yVal>
          <c:smooth val="1"/>
        </c:ser>
        <c:dLbls>
          <c:showLegendKey val="0"/>
          <c:showVal val="0"/>
          <c:showCatName val="0"/>
          <c:showSerName val="0"/>
          <c:showPercent val="0"/>
          <c:showBubbleSize val="0"/>
        </c:dLbls>
        <c:axId val="174879488"/>
        <c:axId val="174877312"/>
      </c:scatterChart>
      <c:valAx>
        <c:axId val="174861312"/>
        <c:scaling>
          <c:orientation val="minMax"/>
        </c:scaling>
        <c:delete val="0"/>
        <c:axPos val="b"/>
        <c:majorGridlines/>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4875392"/>
        <c:crosses val="autoZero"/>
        <c:crossBetween val="midCat"/>
      </c:valAx>
      <c:valAx>
        <c:axId val="174875392"/>
        <c:scaling>
          <c:orientation val="minMax"/>
          <c:max val="100"/>
          <c:min val="60"/>
        </c:scaling>
        <c:delete val="0"/>
        <c:axPos val="l"/>
        <c:majorGridlines/>
        <c:title>
          <c:tx>
            <c:rich>
              <a:bodyPr rot="-5400000" spcFirstLastPara="0" vertOverflow="ellipsis" vert="horz" wrap="square" anchor="ctr" anchorCtr="1"/>
              <a:lstStyle/>
              <a:p>
                <a:pPr>
                  <a:defRPr lang="pl-PL" sz="1400" b="1" i="0" u="none" strike="noStrike" kern="1200" baseline="0">
                    <a:solidFill>
                      <a:schemeClr val="tx1"/>
                    </a:solidFill>
                    <a:latin typeface="+mn-lt"/>
                    <a:ea typeface="+mn-ea"/>
                    <a:cs typeface="+mn-cs"/>
                  </a:defRPr>
                </a:pPr>
                <a:r>
                  <a:rPr lang="en-US" sz="1400"/>
                  <a:t>Efficiency</a:t>
                </a:r>
                <a:r>
                  <a:rPr lang="en-US" sz="1400" baseline="0"/>
                  <a:t> (%)</a:t>
                </a:r>
                <a:endParaRPr lang="en-US" sz="1400"/>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4861312"/>
        <c:crosses val="autoZero"/>
        <c:crossBetween val="midCat"/>
      </c:valAx>
      <c:valAx>
        <c:axId val="174879488"/>
        <c:scaling>
          <c:orientation val="minMax"/>
        </c:scaling>
        <c:delete val="1"/>
        <c:axPos val="b"/>
        <c:title>
          <c:tx>
            <c:rich>
              <a:bodyPr rot="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Loac</a:t>
                </a:r>
                <a:r>
                  <a:rPr lang="en-US" baseline="0"/>
                  <a:t> Current (A)</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4877312"/>
        <c:crosses val="autoZero"/>
        <c:crossBetween val="midCat"/>
      </c:valAx>
      <c:valAx>
        <c:axId val="174877312"/>
        <c:scaling>
          <c:orientation val="minMax"/>
        </c:scaling>
        <c:delete val="0"/>
        <c:axPos val="r"/>
        <c:title>
          <c:tx>
            <c:rich>
              <a:bodyPr rot="-5400000" spcFirstLastPara="0" vertOverflow="ellipsis" vert="horz" wrap="square" anchor="ctr" anchorCtr="1"/>
              <a:lstStyle/>
              <a:p>
                <a:pPr>
                  <a:defRPr lang="pl-PL" sz="1400" b="1" i="0" u="none" strike="noStrike" kern="1200" baseline="0">
                    <a:solidFill>
                      <a:schemeClr val="tx1"/>
                    </a:solidFill>
                    <a:latin typeface="+mn-lt"/>
                    <a:ea typeface="+mn-ea"/>
                    <a:cs typeface="+mn-cs"/>
                  </a:defRPr>
                </a:pPr>
                <a:r>
                  <a:rPr lang="en-US" sz="1400"/>
                  <a:t>Losses</a:t>
                </a:r>
                <a:r>
                  <a:rPr lang="en-US" sz="1400" baseline="0"/>
                  <a:t> (W)</a:t>
                </a:r>
                <a:endParaRPr lang="en-US" sz="1400"/>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4879488"/>
        <c:crosses val="max"/>
        <c:crossBetween val="midCat"/>
      </c:valAx>
    </c:plotArea>
    <c:legend>
      <c:legendPos val="r"/>
      <c:layout>
        <c:manualLayout>
          <c:xMode val="edge"/>
          <c:yMode val="edge"/>
          <c:x val="0.518944039261904"/>
          <c:y val="0.00648622047244094"/>
          <c:w val="0.396095729357041"/>
          <c:h val="0.121836530997006"/>
        </c:manualLayout>
      </c:layout>
      <c:overlay val="1"/>
      <c:txPr>
        <a:bodyPr rot="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2cd760a-0aef-445a-9430-01ae95e28fab}"/>
      </c:ext>
    </c:extLst>
  </c:chart>
  <c:spPr>
    <a:ln w="9525" cap="flat" cmpd="sng" algn="ctr">
      <a:noFill/>
      <a:prstDash val="solid"/>
      <a:round/>
    </a:ln>
  </c:spPr>
  <c:txPr>
    <a:bodyPr/>
    <a:lstStyle/>
    <a:p>
      <a:pPr>
        <a:defRPr lang="pl-PL"/>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pl-PL" sz="1800" b="1" i="0" u="none" strike="noStrike" kern="1200" baseline="0">
                <a:solidFill>
                  <a:schemeClr val="tx1"/>
                </a:solidFill>
                <a:latin typeface="+mn-lt"/>
                <a:ea typeface="+mn-ea"/>
                <a:cs typeface="+mn-cs"/>
              </a:defRPr>
            </a:pPr>
            <a:r>
              <a:rPr lang="en-US"/>
              <a:t>Efficiency</a:t>
            </a:r>
            <a:endParaRPr lang="en-US"/>
          </a:p>
        </c:rich>
      </c:tx>
      <c:layout/>
      <c:overlay val="0"/>
    </c:title>
    <c:autoTitleDeleted val="0"/>
    <c:plotArea>
      <c:layout/>
      <c:scatterChart>
        <c:scatterStyle val="smooth"/>
        <c:varyColors val="0"/>
        <c:ser>
          <c:idx val="0"/>
          <c:order val="0"/>
          <c:tx>
            <c:strRef>
              <c:f>"Eff"</c:f>
              <c:strCache>
                <c:ptCount val="1"/>
                <c:pt idx="0">
                  <c:v>Eff</c:v>
                </c:pt>
              </c:strCache>
            </c:strRef>
          </c:tx>
          <c:marker>
            <c:symbol val="none"/>
          </c:marker>
          <c:dLbls>
            <c:delete val="1"/>
          </c:dLbls>
          <c:xVal>
            <c:numRef>
              <c:f>Eff_vs_IOUT!$S$7:$S$157</c:f>
              <c:numCache>
                <c:formatCode>General</c:formatCode>
                <c:ptCount val="151"/>
                <c:pt idx="0">
                  <c:v>0</c:v>
                </c:pt>
                <c:pt idx="1">
                  <c:v>0.00666666666666667</c:v>
                </c:pt>
                <c:pt idx="2">
                  <c:v>0.0133333333333333</c:v>
                </c:pt>
                <c:pt idx="3">
                  <c:v>0.02</c:v>
                </c:pt>
                <c:pt idx="4">
                  <c:v>0.0266666666666667</c:v>
                </c:pt>
                <c:pt idx="5">
                  <c:v>0.0333333333333333</c:v>
                </c:pt>
                <c:pt idx="6">
                  <c:v>0.04</c:v>
                </c:pt>
                <c:pt idx="7">
                  <c:v>0.0466666666666667</c:v>
                </c:pt>
                <c:pt idx="8">
                  <c:v>0.0533333333333333</c:v>
                </c:pt>
                <c:pt idx="9">
                  <c:v>0.06</c:v>
                </c:pt>
                <c:pt idx="10">
                  <c:v>0.0666666666666667</c:v>
                </c:pt>
                <c:pt idx="11">
                  <c:v>0.0733333333333333</c:v>
                </c:pt>
                <c:pt idx="12">
                  <c:v>0.08</c:v>
                </c:pt>
                <c:pt idx="13">
                  <c:v>0.0866666666666667</c:v>
                </c:pt>
                <c:pt idx="14">
                  <c:v>0.0933333333333333</c:v>
                </c:pt>
                <c:pt idx="15">
                  <c:v>0.1</c:v>
                </c:pt>
                <c:pt idx="16">
                  <c:v>0.106666666666667</c:v>
                </c:pt>
                <c:pt idx="17">
                  <c:v>0.113333333333333</c:v>
                </c:pt>
                <c:pt idx="18">
                  <c:v>0.12</c:v>
                </c:pt>
                <c:pt idx="19">
                  <c:v>0.126666666666667</c:v>
                </c:pt>
                <c:pt idx="20">
                  <c:v>0.133333333333333</c:v>
                </c:pt>
                <c:pt idx="21">
                  <c:v>0.14</c:v>
                </c:pt>
                <c:pt idx="22">
                  <c:v>0.146666666666667</c:v>
                </c:pt>
                <c:pt idx="23">
                  <c:v>0.153333333333333</c:v>
                </c:pt>
                <c:pt idx="24">
                  <c:v>0.16</c:v>
                </c:pt>
                <c:pt idx="25">
                  <c:v>0.166666666666667</c:v>
                </c:pt>
                <c:pt idx="26">
                  <c:v>0.173333333333333</c:v>
                </c:pt>
                <c:pt idx="27">
                  <c:v>0.18</c:v>
                </c:pt>
                <c:pt idx="28">
                  <c:v>0.186666666666667</c:v>
                </c:pt>
                <c:pt idx="29">
                  <c:v>0.193333333333333</c:v>
                </c:pt>
                <c:pt idx="30">
                  <c:v>0.2</c:v>
                </c:pt>
                <c:pt idx="31">
                  <c:v>0.206666666666667</c:v>
                </c:pt>
                <c:pt idx="32">
                  <c:v>0.213333333333333</c:v>
                </c:pt>
                <c:pt idx="33">
                  <c:v>0.22</c:v>
                </c:pt>
                <c:pt idx="34">
                  <c:v>0.226666666666667</c:v>
                </c:pt>
                <c:pt idx="35">
                  <c:v>0.233333333333333</c:v>
                </c:pt>
                <c:pt idx="36">
                  <c:v>0.24</c:v>
                </c:pt>
                <c:pt idx="37">
                  <c:v>0.246666666666667</c:v>
                </c:pt>
                <c:pt idx="38">
                  <c:v>0.253333333333333</c:v>
                </c:pt>
                <c:pt idx="39">
                  <c:v>0.26</c:v>
                </c:pt>
                <c:pt idx="40">
                  <c:v>0.266666666666667</c:v>
                </c:pt>
                <c:pt idx="41">
                  <c:v>0.273333333333333</c:v>
                </c:pt>
                <c:pt idx="42">
                  <c:v>0.28</c:v>
                </c:pt>
                <c:pt idx="43">
                  <c:v>0.286666666666667</c:v>
                </c:pt>
                <c:pt idx="44">
                  <c:v>0.293333333333333</c:v>
                </c:pt>
                <c:pt idx="45">
                  <c:v>0.3</c:v>
                </c:pt>
                <c:pt idx="46">
                  <c:v>0.306666666666667</c:v>
                </c:pt>
                <c:pt idx="47">
                  <c:v>0.313333333333333</c:v>
                </c:pt>
                <c:pt idx="48">
                  <c:v>0.32</c:v>
                </c:pt>
                <c:pt idx="49">
                  <c:v>0.326666666666667</c:v>
                </c:pt>
                <c:pt idx="50">
                  <c:v>0.333333333333333</c:v>
                </c:pt>
                <c:pt idx="51">
                  <c:v>0.34</c:v>
                </c:pt>
                <c:pt idx="52">
                  <c:v>0.346666666666667</c:v>
                </c:pt>
                <c:pt idx="53">
                  <c:v>0.353333333333333</c:v>
                </c:pt>
                <c:pt idx="54">
                  <c:v>0.36</c:v>
                </c:pt>
                <c:pt idx="55">
                  <c:v>0.366666666666667</c:v>
                </c:pt>
                <c:pt idx="56">
                  <c:v>0.373333333333333</c:v>
                </c:pt>
                <c:pt idx="57">
                  <c:v>0.38</c:v>
                </c:pt>
                <c:pt idx="58">
                  <c:v>0.386666666666667</c:v>
                </c:pt>
                <c:pt idx="59">
                  <c:v>0.393333333333333</c:v>
                </c:pt>
                <c:pt idx="60">
                  <c:v>0.4</c:v>
                </c:pt>
                <c:pt idx="61">
                  <c:v>0.406666666666667</c:v>
                </c:pt>
                <c:pt idx="62">
                  <c:v>0.413333333333333</c:v>
                </c:pt>
                <c:pt idx="63">
                  <c:v>0.42</c:v>
                </c:pt>
                <c:pt idx="64">
                  <c:v>0.426666666666667</c:v>
                </c:pt>
                <c:pt idx="65">
                  <c:v>0.433333333333333</c:v>
                </c:pt>
                <c:pt idx="66">
                  <c:v>0.44</c:v>
                </c:pt>
                <c:pt idx="67">
                  <c:v>0.446666666666667</c:v>
                </c:pt>
                <c:pt idx="68">
                  <c:v>0.453333333333333</c:v>
                </c:pt>
                <c:pt idx="69">
                  <c:v>0.46</c:v>
                </c:pt>
                <c:pt idx="70">
                  <c:v>0.466666666666667</c:v>
                </c:pt>
                <c:pt idx="71">
                  <c:v>0.473333333333333</c:v>
                </c:pt>
                <c:pt idx="72">
                  <c:v>0.48</c:v>
                </c:pt>
                <c:pt idx="73">
                  <c:v>0.486666666666667</c:v>
                </c:pt>
                <c:pt idx="74">
                  <c:v>0.493333333333333</c:v>
                </c:pt>
                <c:pt idx="75">
                  <c:v>0.5</c:v>
                </c:pt>
                <c:pt idx="76">
                  <c:v>0.506666666666667</c:v>
                </c:pt>
                <c:pt idx="77">
                  <c:v>0.513333333333333</c:v>
                </c:pt>
                <c:pt idx="78">
                  <c:v>0.52</c:v>
                </c:pt>
                <c:pt idx="79">
                  <c:v>0.526666666666667</c:v>
                </c:pt>
                <c:pt idx="80">
                  <c:v>0.533333333333333</c:v>
                </c:pt>
                <c:pt idx="81">
                  <c:v>0.54</c:v>
                </c:pt>
                <c:pt idx="82">
                  <c:v>0.546666666666667</c:v>
                </c:pt>
                <c:pt idx="83">
                  <c:v>0.553333333333333</c:v>
                </c:pt>
                <c:pt idx="84">
                  <c:v>0.56</c:v>
                </c:pt>
                <c:pt idx="85">
                  <c:v>0.566666666666667</c:v>
                </c:pt>
                <c:pt idx="86">
                  <c:v>0.573333333333333</c:v>
                </c:pt>
                <c:pt idx="87">
                  <c:v>0.58</c:v>
                </c:pt>
                <c:pt idx="88">
                  <c:v>0.586666666666667</c:v>
                </c:pt>
                <c:pt idx="89">
                  <c:v>0.593333333333333</c:v>
                </c:pt>
                <c:pt idx="90">
                  <c:v>0.6</c:v>
                </c:pt>
                <c:pt idx="91">
                  <c:v>0.606666666666667</c:v>
                </c:pt>
                <c:pt idx="92">
                  <c:v>0.613333333333333</c:v>
                </c:pt>
                <c:pt idx="93">
                  <c:v>0.62</c:v>
                </c:pt>
                <c:pt idx="94">
                  <c:v>0.626666666666667</c:v>
                </c:pt>
                <c:pt idx="95">
                  <c:v>0.633333333333333</c:v>
                </c:pt>
                <c:pt idx="96">
                  <c:v>0.64</c:v>
                </c:pt>
                <c:pt idx="97">
                  <c:v>0.646666666666667</c:v>
                </c:pt>
                <c:pt idx="98">
                  <c:v>0.653333333333333</c:v>
                </c:pt>
                <c:pt idx="99">
                  <c:v>0.66</c:v>
                </c:pt>
                <c:pt idx="100">
                  <c:v>0.666666666666667</c:v>
                </c:pt>
                <c:pt idx="101">
                  <c:v>0.673333333333333</c:v>
                </c:pt>
                <c:pt idx="102">
                  <c:v>0.68</c:v>
                </c:pt>
                <c:pt idx="103">
                  <c:v>0.686666666666667</c:v>
                </c:pt>
                <c:pt idx="104">
                  <c:v>0.693333333333333</c:v>
                </c:pt>
                <c:pt idx="105">
                  <c:v>0.7</c:v>
                </c:pt>
                <c:pt idx="106">
                  <c:v>0.706666666666667</c:v>
                </c:pt>
                <c:pt idx="107">
                  <c:v>0.713333333333333</c:v>
                </c:pt>
                <c:pt idx="108">
                  <c:v>0.72</c:v>
                </c:pt>
                <c:pt idx="109">
                  <c:v>0.726666666666667</c:v>
                </c:pt>
                <c:pt idx="110">
                  <c:v>0.733333333333333</c:v>
                </c:pt>
                <c:pt idx="111">
                  <c:v>0.74</c:v>
                </c:pt>
                <c:pt idx="112">
                  <c:v>0.746666666666667</c:v>
                </c:pt>
                <c:pt idx="113">
                  <c:v>0.753333333333333</c:v>
                </c:pt>
                <c:pt idx="114">
                  <c:v>0.76</c:v>
                </c:pt>
                <c:pt idx="115">
                  <c:v>0.766666666666667</c:v>
                </c:pt>
                <c:pt idx="116">
                  <c:v>0.773333333333333</c:v>
                </c:pt>
                <c:pt idx="117">
                  <c:v>0.78</c:v>
                </c:pt>
                <c:pt idx="118">
                  <c:v>0.786666666666667</c:v>
                </c:pt>
                <c:pt idx="119">
                  <c:v>0.793333333333333</c:v>
                </c:pt>
                <c:pt idx="120">
                  <c:v>0.8</c:v>
                </c:pt>
                <c:pt idx="121">
                  <c:v>0.806666666666667</c:v>
                </c:pt>
                <c:pt idx="122">
                  <c:v>0.813333333333333</c:v>
                </c:pt>
                <c:pt idx="123">
                  <c:v>0.82</c:v>
                </c:pt>
                <c:pt idx="124">
                  <c:v>0.826666666666667</c:v>
                </c:pt>
                <c:pt idx="125">
                  <c:v>0.833333333333333</c:v>
                </c:pt>
                <c:pt idx="126">
                  <c:v>0.84</c:v>
                </c:pt>
                <c:pt idx="127">
                  <c:v>0.846666666666667</c:v>
                </c:pt>
                <c:pt idx="128">
                  <c:v>0.853333333333333</c:v>
                </c:pt>
                <c:pt idx="129">
                  <c:v>0.86</c:v>
                </c:pt>
                <c:pt idx="130">
                  <c:v>0.866666666666667</c:v>
                </c:pt>
                <c:pt idx="131">
                  <c:v>0.873333333333333</c:v>
                </c:pt>
                <c:pt idx="132">
                  <c:v>0.88</c:v>
                </c:pt>
                <c:pt idx="133">
                  <c:v>0.886666666666667</c:v>
                </c:pt>
                <c:pt idx="134">
                  <c:v>0.893333333333333</c:v>
                </c:pt>
                <c:pt idx="135">
                  <c:v>0.9</c:v>
                </c:pt>
                <c:pt idx="136">
                  <c:v>0.906666666666667</c:v>
                </c:pt>
                <c:pt idx="137">
                  <c:v>0.913333333333333</c:v>
                </c:pt>
                <c:pt idx="138">
                  <c:v>0.92</c:v>
                </c:pt>
                <c:pt idx="139">
                  <c:v>0.926666666666667</c:v>
                </c:pt>
                <c:pt idx="140">
                  <c:v>0.933333333333333</c:v>
                </c:pt>
                <c:pt idx="141">
                  <c:v>0.94</c:v>
                </c:pt>
                <c:pt idx="142">
                  <c:v>0.946666666666667</c:v>
                </c:pt>
                <c:pt idx="143">
                  <c:v>0.953333333333333</c:v>
                </c:pt>
                <c:pt idx="144">
                  <c:v>0.96</c:v>
                </c:pt>
                <c:pt idx="145">
                  <c:v>0.966666666666667</c:v>
                </c:pt>
                <c:pt idx="146">
                  <c:v>0.973333333333333</c:v>
                </c:pt>
                <c:pt idx="147">
                  <c:v>0.98</c:v>
                </c:pt>
                <c:pt idx="148">
                  <c:v>0.986666666666667</c:v>
                </c:pt>
                <c:pt idx="149">
                  <c:v>0.993333333333333</c:v>
                </c:pt>
                <c:pt idx="150">
                  <c:v>1</c:v>
                </c:pt>
              </c:numCache>
            </c:numRef>
          </c:xVal>
          <c:yVal>
            <c:numRef>
              <c:f>Eff_vs_IOUT!$AT$7:$AT$157</c:f>
              <c:numCache>
                <c:formatCode>General</c:formatCode>
                <c:ptCount val="151"/>
                <c:pt idx="0">
                  <c:v>0</c:v>
                </c:pt>
                <c:pt idx="1">
                  <c:v>26.6295933058595</c:v>
                </c:pt>
                <c:pt idx="2">
                  <c:v>41.3029430327581</c:v>
                </c:pt>
                <c:pt idx="3">
                  <c:v>50.5868882588673</c:v>
                </c:pt>
                <c:pt idx="4">
                  <c:v>56.9835290519853</c:v>
                </c:pt>
                <c:pt idx="5">
                  <c:v>61.6536125280416</c:v>
                </c:pt>
                <c:pt idx="6">
                  <c:v>65.2091322967527</c:v>
                </c:pt>
                <c:pt idx="7">
                  <c:v>68.0033293544474</c:v>
                </c:pt>
                <c:pt idx="8">
                  <c:v>70.4499014125131</c:v>
                </c:pt>
                <c:pt idx="9">
                  <c:v>72.3392129390186</c:v>
                </c:pt>
                <c:pt idx="10">
                  <c:v>73.9246803412143</c:v>
                </c:pt>
                <c:pt idx="11">
                  <c:v>75.2740063178721</c:v>
                </c:pt>
                <c:pt idx="12">
                  <c:v>76.4361701778326</c:v>
                </c:pt>
                <c:pt idx="13">
                  <c:v>77.4474817940528</c:v>
                </c:pt>
                <c:pt idx="14">
                  <c:v>78.3354292752837</c:v>
                </c:pt>
                <c:pt idx="15">
                  <c:v>79.1212046991973</c:v>
                </c:pt>
                <c:pt idx="16">
                  <c:v>79.8214090814333</c:v>
                </c:pt>
                <c:pt idx="17">
                  <c:v>80.4492317622651</c:v>
                </c:pt>
                <c:pt idx="18">
                  <c:v>81.0152839957817</c:v>
                </c:pt>
                <c:pt idx="19">
                  <c:v>81.5281995168546</c:v>
                </c:pt>
                <c:pt idx="20">
                  <c:v>81.9950746986149</c:v>
                </c:pt>
                <c:pt idx="21">
                  <c:v>82.4217961557705</c:v>
                </c:pt>
                <c:pt idx="22">
                  <c:v>82.8132879997206</c:v>
                </c:pt>
                <c:pt idx="23">
                  <c:v>83.173700833219</c:v>
                </c:pt>
                <c:pt idx="24">
                  <c:v>83.50655789521</c:v>
                </c:pt>
                <c:pt idx="25">
                  <c:v>83.8148692774524</c:v>
                </c:pt>
                <c:pt idx="26">
                  <c:v>84.1012220649329</c:v>
                </c:pt>
                <c:pt idx="27">
                  <c:v>84.3678521200907</c:v>
                </c:pt>
                <c:pt idx="28">
                  <c:v>84.6167017287616</c:v>
                </c:pt>
                <c:pt idx="29">
                  <c:v>84.849466253298</c:v>
                </c:pt>
                <c:pt idx="30">
                  <c:v>85.0676321631931</c:v>
                </c:pt>
                <c:pt idx="31">
                  <c:v>85.2725082468756</c:v>
                </c:pt>
                <c:pt idx="32">
                  <c:v>85.4652513896591</c:v>
                </c:pt>
                <c:pt idx="33">
                  <c:v>85.6468879904052</c:v>
                </c:pt>
                <c:pt idx="34">
                  <c:v>85.81833185414</c:v>
                </c:pt>
                <c:pt idx="35">
                  <c:v>85.9803992190836</c:v>
                </c:pt>
                <c:pt idx="36">
                  <c:v>86.1338214395998</c:v>
                </c:pt>
                <c:pt idx="37">
                  <c:v>86.2792557408523</c:v>
                </c:pt>
                <c:pt idx="38">
                  <c:v>86.4172943787518</c:v>
                </c:pt>
                <c:pt idx="39">
                  <c:v>86.5484724744168</c:v>
                </c:pt>
                <c:pt idx="40">
                  <c:v>86.6732747416492</c:v>
                </c:pt>
                <c:pt idx="41">
                  <c:v>86.7921412857077</c:v>
                </c:pt>
                <c:pt idx="42">
                  <c:v>86.9054726195886</c:v>
                </c:pt>
                <c:pt idx="43">
                  <c:v>87.0136340182904</c:v>
                </c:pt>
                <c:pt idx="44">
                  <c:v>87.116959310801</c:v>
                </c:pt>
                <c:pt idx="45">
                  <c:v>87.21575419273</c:v>
                </c:pt>
                <c:pt idx="46">
                  <c:v>87.310299128826</c:v>
                </c:pt>
                <c:pt idx="47">
                  <c:v>87.4008519034145</c:v>
                </c:pt>
                <c:pt idx="48">
                  <c:v>87.4876498675972</c:v>
                </c:pt>
                <c:pt idx="49">
                  <c:v>87.5709119244561</c:v>
                </c:pt>
                <c:pt idx="50">
                  <c:v>87.6508402872217</c:v>
                </c:pt>
                <c:pt idx="51">
                  <c:v>87.7276220401287</c:v>
                </c:pt>
                <c:pt idx="52">
                  <c:v>87.801430527321</c:v>
                </c:pt>
                <c:pt idx="53">
                  <c:v>87.8724265915059</c:v>
                </c:pt>
                <c:pt idx="54">
                  <c:v>87.9407596809862</c:v>
                </c:pt>
                <c:pt idx="55">
                  <c:v>88.0065688411025</c:v>
                </c:pt>
                <c:pt idx="56">
                  <c:v>88.0699836039262</c:v>
                </c:pt>
                <c:pt idx="57">
                  <c:v>88.1311247881813</c:v>
                </c:pt>
                <c:pt idx="58">
                  <c:v>88.1901052197868</c:v>
                </c:pt>
                <c:pt idx="59">
                  <c:v>88.2470303820615</c:v>
                </c:pt>
                <c:pt idx="60">
                  <c:v>88.301999003473</c:v>
                </c:pt>
                <c:pt idx="61">
                  <c:v>88.3551035898189</c:v>
                </c:pt>
                <c:pt idx="62">
                  <c:v>88.4064309068758</c:v>
                </c:pt>
                <c:pt idx="63">
                  <c:v>88.4560624188111</c:v>
                </c:pt>
                <c:pt idx="64">
                  <c:v>88.5040746870177</c:v>
                </c:pt>
                <c:pt idx="65">
                  <c:v>88.5505397334775</c:v>
                </c:pt>
                <c:pt idx="66">
                  <c:v>88.5955253722804</c:v>
                </c:pt>
                <c:pt idx="67">
                  <c:v>88.6390955125087</c:v>
                </c:pt>
                <c:pt idx="68">
                  <c:v>88.6813104353299</c:v>
                </c:pt>
                <c:pt idx="69">
                  <c:v>88.7222270478258</c:v>
                </c:pt>
                <c:pt idx="70">
                  <c:v>88.7618991158046</c:v>
                </c:pt>
                <c:pt idx="71">
                  <c:v>88.8003774775983</c:v>
                </c:pt>
                <c:pt idx="72">
                  <c:v>88.8377102406329</c:v>
                </c:pt>
                <c:pt idx="73">
                  <c:v>88.8739429623704</c:v>
                </c:pt>
                <c:pt idx="74">
                  <c:v>88.9091188170518</c:v>
                </c:pt>
                <c:pt idx="75">
                  <c:v>88.9432787495253</c:v>
                </c:pt>
                <c:pt idx="76">
                  <c:v>88.9764616173113</c:v>
                </c:pt>
                <c:pt idx="77">
                  <c:v>89.0087043219409</c:v>
                </c:pt>
                <c:pt idx="78">
                  <c:v>89.0400419305004</c:v>
                </c:pt>
                <c:pt idx="79">
                  <c:v>89.0705077882244</c:v>
                </c:pt>
                <c:pt idx="80">
                  <c:v>89.1001336228957</c:v>
                </c:pt>
                <c:pt idx="81">
                  <c:v>89.1289496417412</c:v>
                </c:pt>
                <c:pt idx="82">
                  <c:v>89.1569846214441</c:v>
                </c:pt>
                <c:pt idx="83">
                  <c:v>89.1842659918369</c:v>
                </c:pt>
                <c:pt idx="84">
                  <c:v>89.2108199137864</c:v>
                </c:pt>
                <c:pt idx="85">
                  <c:v>89.2366713517367</c:v>
                </c:pt>
                <c:pt idx="86">
                  <c:v>89.2618441413306</c:v>
                </c:pt>
                <c:pt idx="87">
                  <c:v>89.2863610524971</c:v>
                </c:pt>
                <c:pt idx="88">
                  <c:v>89.3102438483544</c:v>
                </c:pt>
                <c:pt idx="89">
                  <c:v>89.3335133402483</c:v>
                </c:pt>
                <c:pt idx="90">
                  <c:v>89.3561894392194</c:v>
                </c:pt>
                <c:pt idx="91">
                  <c:v>89.3782912041669</c:v>
                </c:pt>
                <c:pt idx="92">
                  <c:v>89.3998368869526</c:v>
                </c:pt>
                <c:pt idx="93">
                  <c:v>89.4208439746699</c:v>
                </c:pt>
                <c:pt idx="94">
                  <c:v>89.4413292292841</c:v>
                </c:pt>
                <c:pt idx="95">
                  <c:v>89.4613087248327</c:v>
                </c:pt>
                <c:pt idx="96">
                  <c:v>89.480797882358</c:v>
                </c:pt>
                <c:pt idx="97">
                  <c:v>89.4998115027328</c:v>
                </c:pt>
                <c:pt idx="98">
                  <c:v>89.5183637975262</c:v>
                </c:pt>
                <c:pt idx="99">
                  <c:v>89.5364684180432</c:v>
                </c:pt>
                <c:pt idx="100">
                  <c:v>89.5541384826648</c:v>
                </c:pt>
                <c:pt idx="101">
                  <c:v>89.5713866026017</c:v>
                </c:pt>
                <c:pt idx="102">
                  <c:v>89.5882249061695</c:v>
                </c:pt>
                <c:pt idx="103">
                  <c:v>89.6046650616826</c:v>
                </c:pt>
                <c:pt idx="104">
                  <c:v>89.6207182990576</c:v>
                </c:pt>
                <c:pt idx="105">
                  <c:v>89.6363954302111</c:v>
                </c:pt>
                <c:pt idx="106">
                  <c:v>89.6517068683286</c:v>
                </c:pt>
                <c:pt idx="107">
                  <c:v>89.6666626460773</c:v>
                </c:pt>
                <c:pt idx="108">
                  <c:v>89.6812724328302</c:v>
                </c:pt>
                <c:pt idx="109">
                  <c:v>89.6955455509623</c:v>
                </c:pt>
                <c:pt idx="110">
                  <c:v>89.7094909912776</c:v>
                </c:pt>
                <c:pt idx="111">
                  <c:v>89.7231174276207</c:v>
                </c:pt>
                <c:pt idx="112">
                  <c:v>89.7364332307222</c:v>
                </c:pt>
                <c:pt idx="113">
                  <c:v>89.7494464813242</c:v>
                </c:pt>
                <c:pt idx="114">
                  <c:v>89.7621649826307</c:v>
                </c:pt>
                <c:pt idx="115">
                  <c:v>89.7745962721207</c:v>
                </c:pt>
                <c:pt idx="116">
                  <c:v>89.7867476327642</c:v>
                </c:pt>
                <c:pt idx="117">
                  <c:v>89.7986261036741</c:v>
                </c:pt>
                <c:pt idx="118">
                  <c:v>89.8102384902277</c:v>
                </c:pt>
                <c:pt idx="119">
                  <c:v>89.8215913736885</c:v>
                </c:pt>
                <c:pt idx="120">
                  <c:v>89.8326911203564</c:v>
                </c:pt>
                <c:pt idx="121">
                  <c:v>89.843543890273</c:v>
                </c:pt>
                <c:pt idx="122">
                  <c:v>89.8541556455078</c:v>
                </c:pt>
                <c:pt idx="123">
                  <c:v>89.8645321580478</c:v>
                </c:pt>
                <c:pt idx="124">
                  <c:v>89.8746790173122</c:v>
                </c:pt>
                <c:pt idx="125">
                  <c:v>89.8846016373149</c:v>
                </c:pt>
                <c:pt idx="126">
                  <c:v>89.8943052634908</c:v>
                </c:pt>
                <c:pt idx="127">
                  <c:v>89.9037949792069</c:v>
                </c:pt>
                <c:pt idx="128">
                  <c:v>89.913075711973</c:v>
                </c:pt>
                <c:pt idx="129">
                  <c:v>89.9221522393701</c:v>
                </c:pt>
                <c:pt idx="130">
                  <c:v>89.9310291947094</c:v>
                </c:pt>
                <c:pt idx="131">
                  <c:v>89.9397110724367</c:v>
                </c:pt>
                <c:pt idx="132">
                  <c:v>89.9482022332968</c:v>
                </c:pt>
                <c:pt idx="133">
                  <c:v>89.9565069092679</c:v>
                </c:pt>
                <c:pt idx="134">
                  <c:v>89.9646292082799</c:v>
                </c:pt>
                <c:pt idx="135">
                  <c:v>89.9725731187261</c:v>
                </c:pt>
                <c:pt idx="136">
                  <c:v>89.98034251378</c:v>
                </c:pt>
                <c:pt idx="137">
                  <c:v>89.9879411555262</c:v>
                </c:pt>
                <c:pt idx="138">
                  <c:v>89.9953726989143</c:v>
                </c:pt>
                <c:pt idx="139">
                  <c:v>90.0026406955462</c:v>
                </c:pt>
                <c:pt idx="140">
                  <c:v>90.0097485973026</c:v>
                </c:pt>
                <c:pt idx="141">
                  <c:v>90.016699759819</c:v>
                </c:pt>
                <c:pt idx="142">
                  <c:v>90.0234974458166</c:v>
                </c:pt>
                <c:pt idx="143">
                  <c:v>90.0301448282959</c:v>
                </c:pt>
                <c:pt idx="144">
                  <c:v>90.0366449936</c:v>
                </c:pt>
                <c:pt idx="145">
                  <c:v>90.0430009443525</c:v>
                </c:pt>
                <c:pt idx="146">
                  <c:v>90.0492156022769</c:v>
                </c:pt>
                <c:pt idx="147">
                  <c:v>90.0552918109035</c:v>
                </c:pt>
                <c:pt idx="148">
                  <c:v>90.0612323381674</c:v>
                </c:pt>
                <c:pt idx="149">
                  <c:v>90.067039878904</c:v>
                </c:pt>
                <c:pt idx="150">
                  <c:v>90.0727170572463</c:v>
                </c:pt>
              </c:numCache>
            </c:numRef>
          </c:yVal>
          <c:smooth val="0"/>
        </c:ser>
        <c:dLbls>
          <c:showLegendKey val="0"/>
          <c:showVal val="0"/>
          <c:showCatName val="0"/>
          <c:showSerName val="0"/>
          <c:showPercent val="0"/>
          <c:showBubbleSize val="0"/>
        </c:dLbls>
        <c:axId val="175638784"/>
        <c:axId val="175648768"/>
      </c:scatterChart>
      <c:scatterChart>
        <c:scatterStyle val="smooth"/>
        <c:varyColors val="0"/>
        <c:ser>
          <c:idx val="1"/>
          <c:order val="1"/>
          <c:tx>
            <c:strRef>
              <c:f>"MOSFET"</c:f>
              <c:strCache>
                <c:ptCount val="1"/>
                <c:pt idx="0">
                  <c:v>MOSFET</c:v>
                </c:pt>
              </c:strCache>
            </c:strRef>
          </c:tx>
          <c:marker>
            <c:symbol val="none"/>
          </c:marker>
          <c:dLbls>
            <c:delete val="1"/>
          </c:dLbls>
          <c:xVal>
            <c:numRef>
              <c:f>Eff_vs_IOUT!$S$7:$S$157</c:f>
              <c:numCache>
                <c:formatCode>General</c:formatCode>
                <c:ptCount val="151"/>
                <c:pt idx="0">
                  <c:v>0</c:v>
                </c:pt>
                <c:pt idx="1">
                  <c:v>0.00666666666666667</c:v>
                </c:pt>
                <c:pt idx="2">
                  <c:v>0.0133333333333333</c:v>
                </c:pt>
                <c:pt idx="3">
                  <c:v>0.02</c:v>
                </c:pt>
                <c:pt idx="4">
                  <c:v>0.0266666666666667</c:v>
                </c:pt>
                <c:pt idx="5">
                  <c:v>0.0333333333333333</c:v>
                </c:pt>
                <c:pt idx="6">
                  <c:v>0.04</c:v>
                </c:pt>
                <c:pt idx="7">
                  <c:v>0.0466666666666667</c:v>
                </c:pt>
                <c:pt idx="8">
                  <c:v>0.0533333333333333</c:v>
                </c:pt>
                <c:pt idx="9">
                  <c:v>0.06</c:v>
                </c:pt>
                <c:pt idx="10">
                  <c:v>0.0666666666666667</c:v>
                </c:pt>
                <c:pt idx="11">
                  <c:v>0.0733333333333333</c:v>
                </c:pt>
                <c:pt idx="12">
                  <c:v>0.08</c:v>
                </c:pt>
                <c:pt idx="13">
                  <c:v>0.0866666666666667</c:v>
                </c:pt>
                <c:pt idx="14">
                  <c:v>0.0933333333333333</c:v>
                </c:pt>
                <c:pt idx="15">
                  <c:v>0.1</c:v>
                </c:pt>
                <c:pt idx="16">
                  <c:v>0.106666666666667</c:v>
                </c:pt>
                <c:pt idx="17">
                  <c:v>0.113333333333333</c:v>
                </c:pt>
                <c:pt idx="18">
                  <c:v>0.12</c:v>
                </c:pt>
                <c:pt idx="19">
                  <c:v>0.126666666666667</c:v>
                </c:pt>
                <c:pt idx="20">
                  <c:v>0.133333333333333</c:v>
                </c:pt>
                <c:pt idx="21">
                  <c:v>0.14</c:v>
                </c:pt>
                <c:pt idx="22">
                  <c:v>0.146666666666667</c:v>
                </c:pt>
                <c:pt idx="23">
                  <c:v>0.153333333333333</c:v>
                </c:pt>
                <c:pt idx="24">
                  <c:v>0.16</c:v>
                </c:pt>
                <c:pt idx="25">
                  <c:v>0.166666666666667</c:v>
                </c:pt>
                <c:pt idx="26">
                  <c:v>0.173333333333333</c:v>
                </c:pt>
                <c:pt idx="27">
                  <c:v>0.18</c:v>
                </c:pt>
                <c:pt idx="28">
                  <c:v>0.186666666666667</c:v>
                </c:pt>
                <c:pt idx="29">
                  <c:v>0.193333333333333</c:v>
                </c:pt>
                <c:pt idx="30">
                  <c:v>0.2</c:v>
                </c:pt>
                <c:pt idx="31">
                  <c:v>0.206666666666667</c:v>
                </c:pt>
                <c:pt idx="32">
                  <c:v>0.213333333333333</c:v>
                </c:pt>
                <c:pt idx="33">
                  <c:v>0.22</c:v>
                </c:pt>
                <c:pt idx="34">
                  <c:v>0.226666666666667</c:v>
                </c:pt>
                <c:pt idx="35">
                  <c:v>0.233333333333333</c:v>
                </c:pt>
                <c:pt idx="36">
                  <c:v>0.24</c:v>
                </c:pt>
                <c:pt idx="37">
                  <c:v>0.246666666666667</c:v>
                </c:pt>
                <c:pt idx="38">
                  <c:v>0.253333333333333</c:v>
                </c:pt>
                <c:pt idx="39">
                  <c:v>0.26</c:v>
                </c:pt>
                <c:pt idx="40">
                  <c:v>0.266666666666667</c:v>
                </c:pt>
                <c:pt idx="41">
                  <c:v>0.273333333333333</c:v>
                </c:pt>
                <c:pt idx="42">
                  <c:v>0.28</c:v>
                </c:pt>
                <c:pt idx="43">
                  <c:v>0.286666666666667</c:v>
                </c:pt>
                <c:pt idx="44">
                  <c:v>0.293333333333333</c:v>
                </c:pt>
                <c:pt idx="45">
                  <c:v>0.3</c:v>
                </c:pt>
                <c:pt idx="46">
                  <c:v>0.306666666666667</c:v>
                </c:pt>
                <c:pt idx="47">
                  <c:v>0.313333333333333</c:v>
                </c:pt>
                <c:pt idx="48">
                  <c:v>0.32</c:v>
                </c:pt>
                <c:pt idx="49">
                  <c:v>0.326666666666667</c:v>
                </c:pt>
                <c:pt idx="50">
                  <c:v>0.333333333333333</c:v>
                </c:pt>
                <c:pt idx="51">
                  <c:v>0.34</c:v>
                </c:pt>
                <c:pt idx="52">
                  <c:v>0.346666666666667</c:v>
                </c:pt>
                <c:pt idx="53">
                  <c:v>0.353333333333333</c:v>
                </c:pt>
                <c:pt idx="54">
                  <c:v>0.36</c:v>
                </c:pt>
                <c:pt idx="55">
                  <c:v>0.366666666666667</c:v>
                </c:pt>
                <c:pt idx="56">
                  <c:v>0.373333333333333</c:v>
                </c:pt>
                <c:pt idx="57">
                  <c:v>0.38</c:v>
                </c:pt>
                <c:pt idx="58">
                  <c:v>0.386666666666667</c:v>
                </c:pt>
                <c:pt idx="59">
                  <c:v>0.393333333333333</c:v>
                </c:pt>
                <c:pt idx="60">
                  <c:v>0.4</c:v>
                </c:pt>
                <c:pt idx="61">
                  <c:v>0.406666666666667</c:v>
                </c:pt>
                <c:pt idx="62">
                  <c:v>0.413333333333333</c:v>
                </c:pt>
                <c:pt idx="63">
                  <c:v>0.42</c:v>
                </c:pt>
                <c:pt idx="64">
                  <c:v>0.426666666666667</c:v>
                </c:pt>
                <c:pt idx="65">
                  <c:v>0.433333333333333</c:v>
                </c:pt>
                <c:pt idx="66">
                  <c:v>0.44</c:v>
                </c:pt>
                <c:pt idx="67">
                  <c:v>0.446666666666667</c:v>
                </c:pt>
                <c:pt idx="68">
                  <c:v>0.453333333333333</c:v>
                </c:pt>
                <c:pt idx="69">
                  <c:v>0.46</c:v>
                </c:pt>
                <c:pt idx="70">
                  <c:v>0.466666666666667</c:v>
                </c:pt>
                <c:pt idx="71">
                  <c:v>0.473333333333333</c:v>
                </c:pt>
                <c:pt idx="72">
                  <c:v>0.48</c:v>
                </c:pt>
                <c:pt idx="73">
                  <c:v>0.486666666666667</c:v>
                </c:pt>
                <c:pt idx="74">
                  <c:v>0.493333333333333</c:v>
                </c:pt>
                <c:pt idx="75">
                  <c:v>0.5</c:v>
                </c:pt>
                <c:pt idx="76">
                  <c:v>0.506666666666667</c:v>
                </c:pt>
                <c:pt idx="77">
                  <c:v>0.513333333333333</c:v>
                </c:pt>
                <c:pt idx="78">
                  <c:v>0.52</c:v>
                </c:pt>
                <c:pt idx="79">
                  <c:v>0.526666666666667</c:v>
                </c:pt>
                <c:pt idx="80">
                  <c:v>0.533333333333333</c:v>
                </c:pt>
                <c:pt idx="81">
                  <c:v>0.54</c:v>
                </c:pt>
                <c:pt idx="82">
                  <c:v>0.546666666666667</c:v>
                </c:pt>
                <c:pt idx="83">
                  <c:v>0.553333333333333</c:v>
                </c:pt>
                <c:pt idx="84">
                  <c:v>0.56</c:v>
                </c:pt>
                <c:pt idx="85">
                  <c:v>0.566666666666667</c:v>
                </c:pt>
                <c:pt idx="86">
                  <c:v>0.573333333333333</c:v>
                </c:pt>
                <c:pt idx="87">
                  <c:v>0.58</c:v>
                </c:pt>
                <c:pt idx="88">
                  <c:v>0.586666666666667</c:v>
                </c:pt>
                <c:pt idx="89">
                  <c:v>0.593333333333333</c:v>
                </c:pt>
                <c:pt idx="90">
                  <c:v>0.6</c:v>
                </c:pt>
                <c:pt idx="91">
                  <c:v>0.606666666666667</c:v>
                </c:pt>
                <c:pt idx="92">
                  <c:v>0.613333333333333</c:v>
                </c:pt>
                <c:pt idx="93">
                  <c:v>0.62</c:v>
                </c:pt>
                <c:pt idx="94">
                  <c:v>0.626666666666667</c:v>
                </c:pt>
                <c:pt idx="95">
                  <c:v>0.633333333333333</c:v>
                </c:pt>
                <c:pt idx="96">
                  <c:v>0.64</c:v>
                </c:pt>
                <c:pt idx="97">
                  <c:v>0.646666666666667</c:v>
                </c:pt>
                <c:pt idx="98">
                  <c:v>0.653333333333333</c:v>
                </c:pt>
                <c:pt idx="99">
                  <c:v>0.66</c:v>
                </c:pt>
                <c:pt idx="100">
                  <c:v>0.666666666666667</c:v>
                </c:pt>
                <c:pt idx="101">
                  <c:v>0.673333333333333</c:v>
                </c:pt>
                <c:pt idx="102">
                  <c:v>0.68</c:v>
                </c:pt>
                <c:pt idx="103">
                  <c:v>0.686666666666667</c:v>
                </c:pt>
                <c:pt idx="104">
                  <c:v>0.693333333333333</c:v>
                </c:pt>
                <c:pt idx="105">
                  <c:v>0.7</c:v>
                </c:pt>
                <c:pt idx="106">
                  <c:v>0.706666666666667</c:v>
                </c:pt>
                <c:pt idx="107">
                  <c:v>0.713333333333333</c:v>
                </c:pt>
                <c:pt idx="108">
                  <c:v>0.72</c:v>
                </c:pt>
                <c:pt idx="109">
                  <c:v>0.726666666666667</c:v>
                </c:pt>
                <c:pt idx="110">
                  <c:v>0.733333333333333</c:v>
                </c:pt>
                <c:pt idx="111">
                  <c:v>0.74</c:v>
                </c:pt>
                <c:pt idx="112">
                  <c:v>0.746666666666667</c:v>
                </c:pt>
                <c:pt idx="113">
                  <c:v>0.753333333333333</c:v>
                </c:pt>
                <c:pt idx="114">
                  <c:v>0.76</c:v>
                </c:pt>
                <c:pt idx="115">
                  <c:v>0.766666666666667</c:v>
                </c:pt>
                <c:pt idx="116">
                  <c:v>0.773333333333333</c:v>
                </c:pt>
                <c:pt idx="117">
                  <c:v>0.78</c:v>
                </c:pt>
                <c:pt idx="118">
                  <c:v>0.786666666666667</c:v>
                </c:pt>
                <c:pt idx="119">
                  <c:v>0.793333333333333</c:v>
                </c:pt>
                <c:pt idx="120">
                  <c:v>0.8</c:v>
                </c:pt>
                <c:pt idx="121">
                  <c:v>0.806666666666667</c:v>
                </c:pt>
                <c:pt idx="122">
                  <c:v>0.813333333333333</c:v>
                </c:pt>
                <c:pt idx="123">
                  <c:v>0.82</c:v>
                </c:pt>
                <c:pt idx="124">
                  <c:v>0.826666666666667</c:v>
                </c:pt>
                <c:pt idx="125">
                  <c:v>0.833333333333333</c:v>
                </c:pt>
                <c:pt idx="126">
                  <c:v>0.84</c:v>
                </c:pt>
                <c:pt idx="127">
                  <c:v>0.846666666666667</c:v>
                </c:pt>
                <c:pt idx="128">
                  <c:v>0.853333333333333</c:v>
                </c:pt>
                <c:pt idx="129">
                  <c:v>0.86</c:v>
                </c:pt>
                <c:pt idx="130">
                  <c:v>0.866666666666667</c:v>
                </c:pt>
                <c:pt idx="131">
                  <c:v>0.873333333333333</c:v>
                </c:pt>
                <c:pt idx="132">
                  <c:v>0.88</c:v>
                </c:pt>
                <c:pt idx="133">
                  <c:v>0.886666666666667</c:v>
                </c:pt>
                <c:pt idx="134">
                  <c:v>0.893333333333333</c:v>
                </c:pt>
                <c:pt idx="135">
                  <c:v>0.9</c:v>
                </c:pt>
                <c:pt idx="136">
                  <c:v>0.906666666666667</c:v>
                </c:pt>
                <c:pt idx="137">
                  <c:v>0.913333333333333</c:v>
                </c:pt>
                <c:pt idx="138">
                  <c:v>0.92</c:v>
                </c:pt>
                <c:pt idx="139">
                  <c:v>0.926666666666667</c:v>
                </c:pt>
                <c:pt idx="140">
                  <c:v>0.933333333333333</c:v>
                </c:pt>
                <c:pt idx="141">
                  <c:v>0.94</c:v>
                </c:pt>
                <c:pt idx="142">
                  <c:v>0.946666666666667</c:v>
                </c:pt>
                <c:pt idx="143">
                  <c:v>0.953333333333333</c:v>
                </c:pt>
                <c:pt idx="144">
                  <c:v>0.96</c:v>
                </c:pt>
                <c:pt idx="145">
                  <c:v>0.966666666666667</c:v>
                </c:pt>
                <c:pt idx="146">
                  <c:v>0.973333333333333</c:v>
                </c:pt>
                <c:pt idx="147">
                  <c:v>0.98</c:v>
                </c:pt>
                <c:pt idx="148">
                  <c:v>0.986666666666667</c:v>
                </c:pt>
                <c:pt idx="149">
                  <c:v>0.993333333333333</c:v>
                </c:pt>
                <c:pt idx="150">
                  <c:v>1</c:v>
                </c:pt>
              </c:numCache>
            </c:numRef>
          </c:xVal>
          <c:yVal>
            <c:numRef>
              <c:f>Eff_vs_IOUT!$AI$7:$AI$157</c:f>
              <c:numCache>
                <c:formatCode>General</c:formatCode>
                <c:ptCount val="151"/>
                <c:pt idx="0">
                  <c:v>0</c:v>
                </c:pt>
                <c:pt idx="1">
                  <c:v>-6.10239926439246e-5</c:v>
                </c:pt>
                <c:pt idx="2">
                  <c:v>-0.000109023398347973</c:v>
                </c:pt>
                <c:pt idx="3">
                  <c:v>-0.000145197474594362</c:v>
                </c:pt>
                <c:pt idx="4">
                  <c:v>-0.000169656455882618</c:v>
                </c:pt>
                <c:pt idx="5">
                  <c:v>-0.000182295122667928</c:v>
                </c:pt>
                <c:pt idx="6">
                  <c:v>-0.000182926491408843</c:v>
                </c:pt>
                <c:pt idx="7">
                  <c:v>-0.000171326008440856</c:v>
                </c:pt>
                <c:pt idx="8">
                  <c:v>-0.000496127842156365</c:v>
                </c:pt>
                <c:pt idx="9">
                  <c:v>-0.000557941643778787</c:v>
                </c:pt>
                <c:pt idx="10">
                  <c:v>-0.000618660245401209</c:v>
                </c:pt>
                <c:pt idx="11">
                  <c:v>-0.000678283647023631</c:v>
                </c:pt>
                <c:pt idx="12">
                  <c:v>-0.000736811848646053</c:v>
                </c:pt>
                <c:pt idx="13">
                  <c:v>-0.000794244850268475</c:v>
                </c:pt>
                <c:pt idx="14">
                  <c:v>-0.000850582651890897</c:v>
                </c:pt>
                <c:pt idx="15">
                  <c:v>-0.000905825253513319</c:v>
                </c:pt>
                <c:pt idx="16">
                  <c:v>-0.00095997265513574</c:v>
                </c:pt>
                <c:pt idx="17">
                  <c:v>-0.00101302485675816</c:v>
                </c:pt>
                <c:pt idx="18">
                  <c:v>-0.00106498185838058</c:v>
                </c:pt>
                <c:pt idx="19">
                  <c:v>-0.00111584366000301</c:v>
                </c:pt>
                <c:pt idx="20">
                  <c:v>-0.00116561026162543</c:v>
                </c:pt>
                <c:pt idx="21">
                  <c:v>-0.00121428166324785</c:v>
                </c:pt>
                <c:pt idx="22">
                  <c:v>-0.00126185786487027</c:v>
                </c:pt>
                <c:pt idx="23">
                  <c:v>-0.00130833886649269</c:v>
                </c:pt>
                <c:pt idx="24">
                  <c:v>-0.00135372466811512</c:v>
                </c:pt>
                <c:pt idx="25">
                  <c:v>-0.00139801526973754</c:v>
                </c:pt>
                <c:pt idx="26">
                  <c:v>-0.00144121067135996</c:v>
                </c:pt>
                <c:pt idx="27">
                  <c:v>-0.00148331087298238</c:v>
                </c:pt>
                <c:pt idx="28">
                  <c:v>-0.0015243158746048</c:v>
                </c:pt>
                <c:pt idx="29">
                  <c:v>-0.00156422567622723</c:v>
                </c:pt>
                <c:pt idx="30">
                  <c:v>-0.00160304027784965</c:v>
                </c:pt>
                <c:pt idx="31">
                  <c:v>-0.00164075967947207</c:v>
                </c:pt>
                <c:pt idx="32">
                  <c:v>-0.00167738388109449</c:v>
                </c:pt>
                <c:pt idx="33">
                  <c:v>-0.00171291288271691</c:v>
                </c:pt>
                <c:pt idx="34">
                  <c:v>-0.00174734668433933</c:v>
                </c:pt>
                <c:pt idx="35">
                  <c:v>-0.00178068528596176</c:v>
                </c:pt>
                <c:pt idx="36">
                  <c:v>-0.00181292868758418</c:v>
                </c:pt>
                <c:pt idx="37">
                  <c:v>-0.0018440768892066</c:v>
                </c:pt>
                <c:pt idx="38">
                  <c:v>-0.00187412989082902</c:v>
                </c:pt>
                <c:pt idx="39">
                  <c:v>-0.00190308769245144</c:v>
                </c:pt>
                <c:pt idx="40">
                  <c:v>-0.00193095029407387</c:v>
                </c:pt>
                <c:pt idx="41">
                  <c:v>-0.00195771769569629</c:v>
                </c:pt>
                <c:pt idx="42">
                  <c:v>-0.00198338989731871</c:v>
                </c:pt>
                <c:pt idx="43">
                  <c:v>-0.00200796689894113</c:v>
                </c:pt>
                <c:pt idx="44">
                  <c:v>-0.00203144870056355</c:v>
                </c:pt>
                <c:pt idx="45">
                  <c:v>-0.00205383530218597</c:v>
                </c:pt>
                <c:pt idx="46">
                  <c:v>-0.0020751267038084</c:v>
                </c:pt>
                <c:pt idx="47">
                  <c:v>-0.00209532290543082</c:v>
                </c:pt>
                <c:pt idx="48">
                  <c:v>-0.00211442390705324</c:v>
                </c:pt>
                <c:pt idx="49">
                  <c:v>-0.00213242970867566</c:v>
                </c:pt>
                <c:pt idx="50">
                  <c:v>-0.00214934031029808</c:v>
                </c:pt>
                <c:pt idx="51">
                  <c:v>-0.00216515571192051</c:v>
                </c:pt>
                <c:pt idx="52">
                  <c:v>-0.00217987591354293</c:v>
                </c:pt>
                <c:pt idx="53">
                  <c:v>-0.00219350091516535</c:v>
                </c:pt>
                <c:pt idx="54">
                  <c:v>-0.00220603071678777</c:v>
                </c:pt>
                <c:pt idx="55">
                  <c:v>-0.00221746531841019</c:v>
                </c:pt>
                <c:pt idx="56">
                  <c:v>-0.00222780472003261</c:v>
                </c:pt>
                <c:pt idx="57">
                  <c:v>-0.00223704892165504</c:v>
                </c:pt>
                <c:pt idx="58">
                  <c:v>-0.00224519792327746</c:v>
                </c:pt>
                <c:pt idx="59">
                  <c:v>-0.00225225172489988</c:v>
                </c:pt>
                <c:pt idx="60">
                  <c:v>-0.0022582103265223</c:v>
                </c:pt>
                <c:pt idx="61">
                  <c:v>-0.00226307372814472</c:v>
                </c:pt>
                <c:pt idx="62">
                  <c:v>-0.00226684192976715</c:v>
                </c:pt>
                <c:pt idx="63">
                  <c:v>-0.00226951493138957</c:v>
                </c:pt>
                <c:pt idx="64">
                  <c:v>-0.00227109273301199</c:v>
                </c:pt>
                <c:pt idx="65">
                  <c:v>-0.00227157533463441</c:v>
                </c:pt>
                <c:pt idx="66">
                  <c:v>-0.00227096273625683</c:v>
                </c:pt>
                <c:pt idx="67">
                  <c:v>-0.00226925493787925</c:v>
                </c:pt>
                <c:pt idx="68">
                  <c:v>-0.00226645193950168</c:v>
                </c:pt>
                <c:pt idx="69">
                  <c:v>-0.0022625537411241</c:v>
                </c:pt>
                <c:pt idx="70">
                  <c:v>-0.00225756034274652</c:v>
                </c:pt>
                <c:pt idx="71">
                  <c:v>-0.00225147174436894</c:v>
                </c:pt>
                <c:pt idx="72">
                  <c:v>-0.00224428794599136</c:v>
                </c:pt>
                <c:pt idx="73">
                  <c:v>-0.00223600894761379</c:v>
                </c:pt>
                <c:pt idx="74">
                  <c:v>-0.00222663474923621</c:v>
                </c:pt>
                <c:pt idx="75">
                  <c:v>-0.00221616535085863</c:v>
                </c:pt>
                <c:pt idx="76">
                  <c:v>-0.00220460075248105</c:v>
                </c:pt>
                <c:pt idx="77">
                  <c:v>-0.00219194095410347</c:v>
                </c:pt>
                <c:pt idx="78">
                  <c:v>-0.0021781859557259</c:v>
                </c:pt>
                <c:pt idx="79">
                  <c:v>-0.00216333575734832</c:v>
                </c:pt>
                <c:pt idx="80">
                  <c:v>-0.00214739035897074</c:v>
                </c:pt>
                <c:pt idx="81">
                  <c:v>-0.00213034976059316</c:v>
                </c:pt>
                <c:pt idx="82">
                  <c:v>-0.00211221396221558</c:v>
                </c:pt>
                <c:pt idx="83">
                  <c:v>-0.00209298296383801</c:v>
                </c:pt>
                <c:pt idx="84">
                  <c:v>-0.00207265676546043</c:v>
                </c:pt>
                <c:pt idx="85">
                  <c:v>-0.00205123536708285</c:v>
                </c:pt>
                <c:pt idx="86">
                  <c:v>-0.00202871876870527</c:v>
                </c:pt>
                <c:pt idx="87">
                  <c:v>-0.00200510697032769</c:v>
                </c:pt>
                <c:pt idx="88">
                  <c:v>-0.00198039997195012</c:v>
                </c:pt>
                <c:pt idx="89">
                  <c:v>-0.00195459777357254</c:v>
                </c:pt>
                <c:pt idx="90">
                  <c:v>-0.00192770037519496</c:v>
                </c:pt>
                <c:pt idx="91">
                  <c:v>-0.00189970777681738</c:v>
                </c:pt>
                <c:pt idx="92">
                  <c:v>-0.0018706199784398</c:v>
                </c:pt>
                <c:pt idx="93">
                  <c:v>-0.00184043698006222</c:v>
                </c:pt>
                <c:pt idx="94">
                  <c:v>-0.00180915878168464</c:v>
                </c:pt>
                <c:pt idx="95">
                  <c:v>-0.00177678538330707</c:v>
                </c:pt>
                <c:pt idx="96">
                  <c:v>-0.00174331678492949</c:v>
                </c:pt>
                <c:pt idx="97">
                  <c:v>-0.00170875298655191</c:v>
                </c:pt>
                <c:pt idx="98">
                  <c:v>-0.00167309398817433</c:v>
                </c:pt>
                <c:pt idx="99">
                  <c:v>-0.00163633978979676</c:v>
                </c:pt>
                <c:pt idx="100">
                  <c:v>-0.00159849039141918</c:v>
                </c:pt>
                <c:pt idx="101">
                  <c:v>-0.0015595457930416</c:v>
                </c:pt>
                <c:pt idx="102">
                  <c:v>-0.00151950599466402</c:v>
                </c:pt>
                <c:pt idx="103">
                  <c:v>-0.00147837099628644</c:v>
                </c:pt>
                <c:pt idx="104">
                  <c:v>-0.00143614079790886</c:v>
                </c:pt>
                <c:pt idx="105">
                  <c:v>-0.00139281539953129</c:v>
                </c:pt>
                <c:pt idx="106">
                  <c:v>-0.00134839480115371</c:v>
                </c:pt>
                <c:pt idx="107">
                  <c:v>-0.00130287900277613</c:v>
                </c:pt>
                <c:pt idx="108">
                  <c:v>-0.00125626800439855</c:v>
                </c:pt>
                <c:pt idx="109">
                  <c:v>-0.00120856180602098</c:v>
                </c:pt>
                <c:pt idx="110">
                  <c:v>-0.0011597604076434</c:v>
                </c:pt>
                <c:pt idx="111">
                  <c:v>-0.00110986380926582</c:v>
                </c:pt>
                <c:pt idx="112">
                  <c:v>-0.00105887201088824</c:v>
                </c:pt>
                <c:pt idx="113">
                  <c:v>-0.00100678501251066</c:v>
                </c:pt>
                <c:pt idx="114">
                  <c:v>-0.000953602814133082</c:v>
                </c:pt>
                <c:pt idx="115">
                  <c:v>-0.000899325415755505</c:v>
                </c:pt>
                <c:pt idx="116">
                  <c:v>-0.000843952817377927</c:v>
                </c:pt>
                <c:pt idx="117">
                  <c:v>-0.000787485019000348</c:v>
                </c:pt>
                <c:pt idx="118">
                  <c:v>-0.000729922020622768</c:v>
                </c:pt>
                <c:pt idx="119">
                  <c:v>-0.000671263822245194</c:v>
                </c:pt>
                <c:pt idx="120">
                  <c:v>-0.000611510423867615</c:v>
                </c:pt>
                <c:pt idx="121">
                  <c:v>-0.000550661825490037</c:v>
                </c:pt>
                <c:pt idx="122">
                  <c:v>-0.000488718027112457</c:v>
                </c:pt>
                <c:pt idx="123">
                  <c:v>-0.000425679028734879</c:v>
                </c:pt>
                <c:pt idx="124">
                  <c:v>-0.000361544830357304</c:v>
                </c:pt>
                <c:pt idx="125">
                  <c:v>-0.000296315431979725</c:v>
                </c:pt>
                <c:pt idx="126">
                  <c:v>-0.000229990833602147</c:v>
                </c:pt>
                <c:pt idx="127">
                  <c:v>-0.00016257103522457</c:v>
                </c:pt>
                <c:pt idx="128">
                  <c:v>-9.40560368469911e-5</c:v>
                </c:pt>
                <c:pt idx="129">
                  <c:v>-2.44458384694134e-5</c:v>
                </c:pt>
                <c:pt idx="130">
                  <c:v>4.62595599081683e-5</c:v>
                </c:pt>
                <c:pt idx="131">
                  <c:v>0.000118060158285744</c:v>
                </c:pt>
                <c:pt idx="132">
                  <c:v>0.000190955956663321</c:v>
                </c:pt>
                <c:pt idx="133">
                  <c:v>0.000264946955040901</c:v>
                </c:pt>
                <c:pt idx="134">
                  <c:v>0.000340033153418481</c:v>
                </c:pt>
                <c:pt idx="135">
                  <c:v>0.000416214551796055</c:v>
                </c:pt>
                <c:pt idx="136">
                  <c:v>0.000493491150173636</c:v>
                </c:pt>
                <c:pt idx="137">
                  <c:v>0.000571862948551211</c:v>
                </c:pt>
                <c:pt idx="138">
                  <c:v>0.000651329946928793</c:v>
                </c:pt>
                <c:pt idx="139">
                  <c:v>0.000731892145306369</c:v>
                </c:pt>
                <c:pt idx="140">
                  <c:v>0.000813549543683949</c:v>
                </c:pt>
                <c:pt idx="141">
                  <c:v>0.000896302142061526</c:v>
                </c:pt>
                <c:pt idx="142">
                  <c:v>0.000980149940439101</c:v>
                </c:pt>
                <c:pt idx="143">
                  <c:v>0.00106509293881668</c:v>
                </c:pt>
                <c:pt idx="144">
                  <c:v>0.00115113113719426</c:v>
                </c:pt>
                <c:pt idx="145">
                  <c:v>0.00123826453557184</c:v>
                </c:pt>
                <c:pt idx="146">
                  <c:v>0.00132649313394942</c:v>
                </c:pt>
                <c:pt idx="147">
                  <c:v>0.00141581693232699</c:v>
                </c:pt>
                <c:pt idx="148">
                  <c:v>0.00150623593070457</c:v>
                </c:pt>
                <c:pt idx="149">
                  <c:v>0.00159775012908215</c:v>
                </c:pt>
                <c:pt idx="150">
                  <c:v>0.00169035952745973</c:v>
                </c:pt>
              </c:numCache>
            </c:numRef>
          </c:yVal>
          <c:smooth val="1"/>
        </c:ser>
        <c:ser>
          <c:idx val="2"/>
          <c:order val="2"/>
          <c:tx>
            <c:strRef>
              <c:f>"Diode"</c:f>
              <c:strCache>
                <c:ptCount val="1"/>
                <c:pt idx="0">
                  <c:v>Diode</c:v>
                </c:pt>
              </c:strCache>
            </c:strRef>
          </c:tx>
          <c:marker>
            <c:symbol val="none"/>
          </c:marker>
          <c:dLbls>
            <c:delete val="1"/>
          </c:dLbls>
          <c:xVal>
            <c:numRef>
              <c:f>Eff_vs_IOUT!$S$7:$S$157</c:f>
              <c:numCache>
                <c:formatCode>General</c:formatCode>
                <c:ptCount val="151"/>
                <c:pt idx="0">
                  <c:v>0</c:v>
                </c:pt>
                <c:pt idx="1">
                  <c:v>0.00666666666666667</c:v>
                </c:pt>
                <c:pt idx="2">
                  <c:v>0.0133333333333333</c:v>
                </c:pt>
                <c:pt idx="3">
                  <c:v>0.02</c:v>
                </c:pt>
                <c:pt idx="4">
                  <c:v>0.0266666666666667</c:v>
                </c:pt>
                <c:pt idx="5">
                  <c:v>0.0333333333333333</c:v>
                </c:pt>
                <c:pt idx="6">
                  <c:v>0.04</c:v>
                </c:pt>
                <c:pt idx="7">
                  <c:v>0.0466666666666667</c:v>
                </c:pt>
                <c:pt idx="8">
                  <c:v>0.0533333333333333</c:v>
                </c:pt>
                <c:pt idx="9">
                  <c:v>0.06</c:v>
                </c:pt>
                <c:pt idx="10">
                  <c:v>0.0666666666666667</c:v>
                </c:pt>
                <c:pt idx="11">
                  <c:v>0.0733333333333333</c:v>
                </c:pt>
                <c:pt idx="12">
                  <c:v>0.08</c:v>
                </c:pt>
                <c:pt idx="13">
                  <c:v>0.0866666666666667</c:v>
                </c:pt>
                <c:pt idx="14">
                  <c:v>0.0933333333333333</c:v>
                </c:pt>
                <c:pt idx="15">
                  <c:v>0.1</c:v>
                </c:pt>
                <c:pt idx="16">
                  <c:v>0.106666666666667</c:v>
                </c:pt>
                <c:pt idx="17">
                  <c:v>0.113333333333333</c:v>
                </c:pt>
                <c:pt idx="18">
                  <c:v>0.12</c:v>
                </c:pt>
                <c:pt idx="19">
                  <c:v>0.126666666666667</c:v>
                </c:pt>
                <c:pt idx="20">
                  <c:v>0.133333333333333</c:v>
                </c:pt>
                <c:pt idx="21">
                  <c:v>0.14</c:v>
                </c:pt>
                <c:pt idx="22">
                  <c:v>0.146666666666667</c:v>
                </c:pt>
                <c:pt idx="23">
                  <c:v>0.153333333333333</c:v>
                </c:pt>
                <c:pt idx="24">
                  <c:v>0.16</c:v>
                </c:pt>
                <c:pt idx="25">
                  <c:v>0.166666666666667</c:v>
                </c:pt>
                <c:pt idx="26">
                  <c:v>0.173333333333333</c:v>
                </c:pt>
                <c:pt idx="27">
                  <c:v>0.18</c:v>
                </c:pt>
                <c:pt idx="28">
                  <c:v>0.186666666666667</c:v>
                </c:pt>
                <c:pt idx="29">
                  <c:v>0.193333333333333</c:v>
                </c:pt>
                <c:pt idx="30">
                  <c:v>0.2</c:v>
                </c:pt>
                <c:pt idx="31">
                  <c:v>0.206666666666667</c:v>
                </c:pt>
                <c:pt idx="32">
                  <c:v>0.213333333333333</c:v>
                </c:pt>
                <c:pt idx="33">
                  <c:v>0.22</c:v>
                </c:pt>
                <c:pt idx="34">
                  <c:v>0.226666666666667</c:v>
                </c:pt>
                <c:pt idx="35">
                  <c:v>0.233333333333333</c:v>
                </c:pt>
                <c:pt idx="36">
                  <c:v>0.24</c:v>
                </c:pt>
                <c:pt idx="37">
                  <c:v>0.246666666666667</c:v>
                </c:pt>
                <c:pt idx="38">
                  <c:v>0.253333333333333</c:v>
                </c:pt>
                <c:pt idx="39">
                  <c:v>0.26</c:v>
                </c:pt>
                <c:pt idx="40">
                  <c:v>0.266666666666667</c:v>
                </c:pt>
                <c:pt idx="41">
                  <c:v>0.273333333333333</c:v>
                </c:pt>
                <c:pt idx="42">
                  <c:v>0.28</c:v>
                </c:pt>
                <c:pt idx="43">
                  <c:v>0.286666666666667</c:v>
                </c:pt>
                <c:pt idx="44">
                  <c:v>0.293333333333333</c:v>
                </c:pt>
                <c:pt idx="45">
                  <c:v>0.3</c:v>
                </c:pt>
                <c:pt idx="46">
                  <c:v>0.306666666666667</c:v>
                </c:pt>
                <c:pt idx="47">
                  <c:v>0.313333333333333</c:v>
                </c:pt>
                <c:pt idx="48">
                  <c:v>0.32</c:v>
                </c:pt>
                <c:pt idx="49">
                  <c:v>0.326666666666667</c:v>
                </c:pt>
                <c:pt idx="50">
                  <c:v>0.333333333333333</c:v>
                </c:pt>
                <c:pt idx="51">
                  <c:v>0.34</c:v>
                </c:pt>
                <c:pt idx="52">
                  <c:v>0.346666666666667</c:v>
                </c:pt>
                <c:pt idx="53">
                  <c:v>0.353333333333333</c:v>
                </c:pt>
                <c:pt idx="54">
                  <c:v>0.36</c:v>
                </c:pt>
                <c:pt idx="55">
                  <c:v>0.366666666666667</c:v>
                </c:pt>
                <c:pt idx="56">
                  <c:v>0.373333333333333</c:v>
                </c:pt>
                <c:pt idx="57">
                  <c:v>0.38</c:v>
                </c:pt>
                <c:pt idx="58">
                  <c:v>0.386666666666667</c:v>
                </c:pt>
                <c:pt idx="59">
                  <c:v>0.393333333333333</c:v>
                </c:pt>
                <c:pt idx="60">
                  <c:v>0.4</c:v>
                </c:pt>
                <c:pt idx="61">
                  <c:v>0.406666666666667</c:v>
                </c:pt>
                <c:pt idx="62">
                  <c:v>0.413333333333333</c:v>
                </c:pt>
                <c:pt idx="63">
                  <c:v>0.42</c:v>
                </c:pt>
                <c:pt idx="64">
                  <c:v>0.426666666666667</c:v>
                </c:pt>
                <c:pt idx="65">
                  <c:v>0.433333333333333</c:v>
                </c:pt>
                <c:pt idx="66">
                  <c:v>0.44</c:v>
                </c:pt>
                <c:pt idx="67">
                  <c:v>0.446666666666667</c:v>
                </c:pt>
                <c:pt idx="68">
                  <c:v>0.453333333333333</c:v>
                </c:pt>
                <c:pt idx="69">
                  <c:v>0.46</c:v>
                </c:pt>
                <c:pt idx="70">
                  <c:v>0.466666666666667</c:v>
                </c:pt>
                <c:pt idx="71">
                  <c:v>0.473333333333333</c:v>
                </c:pt>
                <c:pt idx="72">
                  <c:v>0.48</c:v>
                </c:pt>
                <c:pt idx="73">
                  <c:v>0.486666666666667</c:v>
                </c:pt>
                <c:pt idx="74">
                  <c:v>0.493333333333333</c:v>
                </c:pt>
                <c:pt idx="75">
                  <c:v>0.5</c:v>
                </c:pt>
                <c:pt idx="76">
                  <c:v>0.506666666666667</c:v>
                </c:pt>
                <c:pt idx="77">
                  <c:v>0.513333333333333</c:v>
                </c:pt>
                <c:pt idx="78">
                  <c:v>0.52</c:v>
                </c:pt>
                <c:pt idx="79">
                  <c:v>0.526666666666667</c:v>
                </c:pt>
                <c:pt idx="80">
                  <c:v>0.533333333333333</c:v>
                </c:pt>
                <c:pt idx="81">
                  <c:v>0.54</c:v>
                </c:pt>
                <c:pt idx="82">
                  <c:v>0.546666666666667</c:v>
                </c:pt>
                <c:pt idx="83">
                  <c:v>0.553333333333333</c:v>
                </c:pt>
                <c:pt idx="84">
                  <c:v>0.56</c:v>
                </c:pt>
                <c:pt idx="85">
                  <c:v>0.566666666666667</c:v>
                </c:pt>
                <c:pt idx="86">
                  <c:v>0.573333333333333</c:v>
                </c:pt>
                <c:pt idx="87">
                  <c:v>0.58</c:v>
                </c:pt>
                <c:pt idx="88">
                  <c:v>0.586666666666667</c:v>
                </c:pt>
                <c:pt idx="89">
                  <c:v>0.593333333333333</c:v>
                </c:pt>
                <c:pt idx="90">
                  <c:v>0.6</c:v>
                </c:pt>
                <c:pt idx="91">
                  <c:v>0.606666666666667</c:v>
                </c:pt>
                <c:pt idx="92">
                  <c:v>0.613333333333333</c:v>
                </c:pt>
                <c:pt idx="93">
                  <c:v>0.62</c:v>
                </c:pt>
                <c:pt idx="94">
                  <c:v>0.626666666666667</c:v>
                </c:pt>
                <c:pt idx="95">
                  <c:v>0.633333333333333</c:v>
                </c:pt>
                <c:pt idx="96">
                  <c:v>0.64</c:v>
                </c:pt>
                <c:pt idx="97">
                  <c:v>0.646666666666667</c:v>
                </c:pt>
                <c:pt idx="98">
                  <c:v>0.653333333333333</c:v>
                </c:pt>
                <c:pt idx="99">
                  <c:v>0.66</c:v>
                </c:pt>
                <c:pt idx="100">
                  <c:v>0.666666666666667</c:v>
                </c:pt>
                <c:pt idx="101">
                  <c:v>0.673333333333333</c:v>
                </c:pt>
                <c:pt idx="102">
                  <c:v>0.68</c:v>
                </c:pt>
                <c:pt idx="103">
                  <c:v>0.686666666666667</c:v>
                </c:pt>
                <c:pt idx="104">
                  <c:v>0.693333333333333</c:v>
                </c:pt>
                <c:pt idx="105">
                  <c:v>0.7</c:v>
                </c:pt>
                <c:pt idx="106">
                  <c:v>0.706666666666667</c:v>
                </c:pt>
                <c:pt idx="107">
                  <c:v>0.713333333333333</c:v>
                </c:pt>
                <c:pt idx="108">
                  <c:v>0.72</c:v>
                </c:pt>
                <c:pt idx="109">
                  <c:v>0.726666666666667</c:v>
                </c:pt>
                <c:pt idx="110">
                  <c:v>0.733333333333333</c:v>
                </c:pt>
                <c:pt idx="111">
                  <c:v>0.74</c:v>
                </c:pt>
                <c:pt idx="112">
                  <c:v>0.746666666666667</c:v>
                </c:pt>
                <c:pt idx="113">
                  <c:v>0.753333333333333</c:v>
                </c:pt>
                <c:pt idx="114">
                  <c:v>0.76</c:v>
                </c:pt>
                <c:pt idx="115">
                  <c:v>0.766666666666667</c:v>
                </c:pt>
                <c:pt idx="116">
                  <c:v>0.773333333333333</c:v>
                </c:pt>
                <c:pt idx="117">
                  <c:v>0.78</c:v>
                </c:pt>
                <c:pt idx="118">
                  <c:v>0.786666666666667</c:v>
                </c:pt>
                <c:pt idx="119">
                  <c:v>0.793333333333333</c:v>
                </c:pt>
                <c:pt idx="120">
                  <c:v>0.8</c:v>
                </c:pt>
                <c:pt idx="121">
                  <c:v>0.806666666666667</c:v>
                </c:pt>
                <c:pt idx="122">
                  <c:v>0.813333333333333</c:v>
                </c:pt>
                <c:pt idx="123">
                  <c:v>0.82</c:v>
                </c:pt>
                <c:pt idx="124">
                  <c:v>0.826666666666667</c:v>
                </c:pt>
                <c:pt idx="125">
                  <c:v>0.833333333333333</c:v>
                </c:pt>
                <c:pt idx="126">
                  <c:v>0.84</c:v>
                </c:pt>
                <c:pt idx="127">
                  <c:v>0.846666666666667</c:v>
                </c:pt>
                <c:pt idx="128">
                  <c:v>0.853333333333333</c:v>
                </c:pt>
                <c:pt idx="129">
                  <c:v>0.86</c:v>
                </c:pt>
                <c:pt idx="130">
                  <c:v>0.866666666666667</c:v>
                </c:pt>
                <c:pt idx="131">
                  <c:v>0.873333333333333</c:v>
                </c:pt>
                <c:pt idx="132">
                  <c:v>0.88</c:v>
                </c:pt>
                <c:pt idx="133">
                  <c:v>0.886666666666667</c:v>
                </c:pt>
                <c:pt idx="134">
                  <c:v>0.893333333333333</c:v>
                </c:pt>
                <c:pt idx="135">
                  <c:v>0.9</c:v>
                </c:pt>
                <c:pt idx="136">
                  <c:v>0.906666666666667</c:v>
                </c:pt>
                <c:pt idx="137">
                  <c:v>0.913333333333333</c:v>
                </c:pt>
                <c:pt idx="138">
                  <c:v>0.92</c:v>
                </c:pt>
                <c:pt idx="139">
                  <c:v>0.926666666666667</c:v>
                </c:pt>
                <c:pt idx="140">
                  <c:v>0.933333333333333</c:v>
                </c:pt>
                <c:pt idx="141">
                  <c:v>0.94</c:v>
                </c:pt>
                <c:pt idx="142">
                  <c:v>0.946666666666667</c:v>
                </c:pt>
                <c:pt idx="143">
                  <c:v>0.953333333333333</c:v>
                </c:pt>
                <c:pt idx="144">
                  <c:v>0.96</c:v>
                </c:pt>
                <c:pt idx="145">
                  <c:v>0.966666666666667</c:v>
                </c:pt>
                <c:pt idx="146">
                  <c:v>0.973333333333333</c:v>
                </c:pt>
                <c:pt idx="147">
                  <c:v>0.98</c:v>
                </c:pt>
                <c:pt idx="148">
                  <c:v>0.986666666666667</c:v>
                </c:pt>
                <c:pt idx="149">
                  <c:v>0.993333333333333</c:v>
                </c:pt>
                <c:pt idx="150">
                  <c:v>1</c:v>
                </c:pt>
              </c:numCache>
            </c:numRef>
          </c:xVal>
          <c:yVal>
            <c:numRef>
              <c:f>Eff_vs_IOUT!$AN$7:$AN$157</c:f>
              <c:numCache>
                <c:formatCode>General</c:formatCode>
                <c:ptCount val="151"/>
                <c:pt idx="0">
                  <c:v>0</c:v>
                </c:pt>
                <c:pt idx="1">
                  <c:v>0.00216666666666667</c:v>
                </c:pt>
                <c:pt idx="2">
                  <c:v>0.00433333333333333</c:v>
                </c:pt>
                <c:pt idx="3">
                  <c:v>0.0065</c:v>
                </c:pt>
                <c:pt idx="4">
                  <c:v>0.00866666666666667</c:v>
                </c:pt>
                <c:pt idx="5">
                  <c:v>0.0108333333333333</c:v>
                </c:pt>
                <c:pt idx="6">
                  <c:v>0.013</c:v>
                </c:pt>
                <c:pt idx="7">
                  <c:v>0.0151666666666667</c:v>
                </c:pt>
                <c:pt idx="8">
                  <c:v>0.0173333333333333</c:v>
                </c:pt>
                <c:pt idx="9">
                  <c:v>0.0195</c:v>
                </c:pt>
                <c:pt idx="10">
                  <c:v>0.0216666666666667</c:v>
                </c:pt>
                <c:pt idx="11">
                  <c:v>0.0238333333333333</c:v>
                </c:pt>
                <c:pt idx="12">
                  <c:v>0.026</c:v>
                </c:pt>
                <c:pt idx="13">
                  <c:v>0.0281666666666667</c:v>
                </c:pt>
                <c:pt idx="14">
                  <c:v>0.0303333333333333</c:v>
                </c:pt>
                <c:pt idx="15">
                  <c:v>0.0325</c:v>
                </c:pt>
                <c:pt idx="16">
                  <c:v>0.0346666666666667</c:v>
                </c:pt>
                <c:pt idx="17">
                  <c:v>0.0368333333333333</c:v>
                </c:pt>
                <c:pt idx="18">
                  <c:v>0.039</c:v>
                </c:pt>
                <c:pt idx="19">
                  <c:v>0.0411666666666667</c:v>
                </c:pt>
                <c:pt idx="20">
                  <c:v>0.0433333333333333</c:v>
                </c:pt>
                <c:pt idx="21">
                  <c:v>0.0455</c:v>
                </c:pt>
                <c:pt idx="22">
                  <c:v>0.0476666666666667</c:v>
                </c:pt>
                <c:pt idx="23">
                  <c:v>0.0498333333333333</c:v>
                </c:pt>
                <c:pt idx="24">
                  <c:v>0.052</c:v>
                </c:pt>
                <c:pt idx="25">
                  <c:v>0.0541666666666667</c:v>
                </c:pt>
                <c:pt idx="26">
                  <c:v>0.0563333333333333</c:v>
                </c:pt>
                <c:pt idx="27">
                  <c:v>0.0585</c:v>
                </c:pt>
                <c:pt idx="28">
                  <c:v>0.0606666666666667</c:v>
                </c:pt>
                <c:pt idx="29">
                  <c:v>0.0628333333333333</c:v>
                </c:pt>
                <c:pt idx="30">
                  <c:v>0.065</c:v>
                </c:pt>
                <c:pt idx="31">
                  <c:v>0.0671666666666667</c:v>
                </c:pt>
                <c:pt idx="32">
                  <c:v>0.0693333333333333</c:v>
                </c:pt>
                <c:pt idx="33">
                  <c:v>0.0715</c:v>
                </c:pt>
                <c:pt idx="34">
                  <c:v>0.0736666666666667</c:v>
                </c:pt>
                <c:pt idx="35">
                  <c:v>0.0758333333333333</c:v>
                </c:pt>
                <c:pt idx="36">
                  <c:v>0.078</c:v>
                </c:pt>
                <c:pt idx="37">
                  <c:v>0.0801666666666667</c:v>
                </c:pt>
                <c:pt idx="38">
                  <c:v>0.0823333333333333</c:v>
                </c:pt>
                <c:pt idx="39">
                  <c:v>0.0845</c:v>
                </c:pt>
                <c:pt idx="40">
                  <c:v>0.0866666666666667</c:v>
                </c:pt>
                <c:pt idx="41">
                  <c:v>0.0888333333333333</c:v>
                </c:pt>
                <c:pt idx="42">
                  <c:v>0.091</c:v>
                </c:pt>
                <c:pt idx="43">
                  <c:v>0.0931666666666667</c:v>
                </c:pt>
                <c:pt idx="44">
                  <c:v>0.0953333333333333</c:v>
                </c:pt>
                <c:pt idx="45">
                  <c:v>0.0975</c:v>
                </c:pt>
                <c:pt idx="46">
                  <c:v>0.0996666666666667</c:v>
                </c:pt>
                <c:pt idx="47">
                  <c:v>0.101833333333333</c:v>
                </c:pt>
                <c:pt idx="48">
                  <c:v>0.104</c:v>
                </c:pt>
                <c:pt idx="49">
                  <c:v>0.106166666666667</c:v>
                </c:pt>
                <c:pt idx="50">
                  <c:v>0.108333333333333</c:v>
                </c:pt>
                <c:pt idx="51">
                  <c:v>0.1105</c:v>
                </c:pt>
                <c:pt idx="52">
                  <c:v>0.112666666666667</c:v>
                </c:pt>
                <c:pt idx="53">
                  <c:v>0.114833333333333</c:v>
                </c:pt>
                <c:pt idx="54">
                  <c:v>0.117</c:v>
                </c:pt>
                <c:pt idx="55">
                  <c:v>0.119166666666667</c:v>
                </c:pt>
                <c:pt idx="56">
                  <c:v>0.121333333333333</c:v>
                </c:pt>
                <c:pt idx="57">
                  <c:v>0.1235</c:v>
                </c:pt>
                <c:pt idx="58">
                  <c:v>0.125666666666667</c:v>
                </c:pt>
                <c:pt idx="59">
                  <c:v>0.127833333333333</c:v>
                </c:pt>
                <c:pt idx="60">
                  <c:v>0.13</c:v>
                </c:pt>
                <c:pt idx="61">
                  <c:v>0.132166666666667</c:v>
                </c:pt>
                <c:pt idx="62">
                  <c:v>0.134333333333333</c:v>
                </c:pt>
                <c:pt idx="63">
                  <c:v>0.1365</c:v>
                </c:pt>
                <c:pt idx="64">
                  <c:v>0.138666666666667</c:v>
                </c:pt>
                <c:pt idx="65">
                  <c:v>0.140833333333333</c:v>
                </c:pt>
                <c:pt idx="66">
                  <c:v>0.143</c:v>
                </c:pt>
                <c:pt idx="67">
                  <c:v>0.145166666666667</c:v>
                </c:pt>
                <c:pt idx="68">
                  <c:v>0.147333333333333</c:v>
                </c:pt>
                <c:pt idx="69">
                  <c:v>0.1495</c:v>
                </c:pt>
                <c:pt idx="70">
                  <c:v>0.151666666666667</c:v>
                </c:pt>
                <c:pt idx="71">
                  <c:v>0.153833333333333</c:v>
                </c:pt>
                <c:pt idx="72">
                  <c:v>0.156</c:v>
                </c:pt>
                <c:pt idx="73">
                  <c:v>0.158166666666667</c:v>
                </c:pt>
                <c:pt idx="74">
                  <c:v>0.160333333333333</c:v>
                </c:pt>
                <c:pt idx="75">
                  <c:v>0.1625</c:v>
                </c:pt>
                <c:pt idx="76">
                  <c:v>0.164666666666667</c:v>
                </c:pt>
                <c:pt idx="77">
                  <c:v>0.166833333333333</c:v>
                </c:pt>
                <c:pt idx="78">
                  <c:v>0.169</c:v>
                </c:pt>
                <c:pt idx="79">
                  <c:v>0.171166666666667</c:v>
                </c:pt>
                <c:pt idx="80">
                  <c:v>0.173333333333333</c:v>
                </c:pt>
                <c:pt idx="81">
                  <c:v>0.1755</c:v>
                </c:pt>
                <c:pt idx="82">
                  <c:v>0.177666666666667</c:v>
                </c:pt>
                <c:pt idx="83">
                  <c:v>0.179833333333333</c:v>
                </c:pt>
                <c:pt idx="84">
                  <c:v>0.182</c:v>
                </c:pt>
                <c:pt idx="85">
                  <c:v>0.184166666666667</c:v>
                </c:pt>
                <c:pt idx="86">
                  <c:v>0.186333333333333</c:v>
                </c:pt>
                <c:pt idx="87">
                  <c:v>0.1885</c:v>
                </c:pt>
                <c:pt idx="88">
                  <c:v>0.190666666666667</c:v>
                </c:pt>
                <c:pt idx="89">
                  <c:v>0.192833333333333</c:v>
                </c:pt>
                <c:pt idx="90">
                  <c:v>0.195</c:v>
                </c:pt>
                <c:pt idx="91">
                  <c:v>0.197166666666667</c:v>
                </c:pt>
                <c:pt idx="92">
                  <c:v>0.199333333333333</c:v>
                </c:pt>
                <c:pt idx="93">
                  <c:v>0.2015</c:v>
                </c:pt>
                <c:pt idx="94">
                  <c:v>0.203666666666667</c:v>
                </c:pt>
                <c:pt idx="95">
                  <c:v>0.205833333333333</c:v>
                </c:pt>
                <c:pt idx="96">
                  <c:v>0.208</c:v>
                </c:pt>
                <c:pt idx="97">
                  <c:v>0.210166666666667</c:v>
                </c:pt>
                <c:pt idx="98">
                  <c:v>0.212333333333333</c:v>
                </c:pt>
                <c:pt idx="99">
                  <c:v>0.2145</c:v>
                </c:pt>
                <c:pt idx="100">
                  <c:v>0.216666666666667</c:v>
                </c:pt>
                <c:pt idx="101">
                  <c:v>0.218833333333333</c:v>
                </c:pt>
                <c:pt idx="102">
                  <c:v>0.221</c:v>
                </c:pt>
                <c:pt idx="103">
                  <c:v>0.223166666666667</c:v>
                </c:pt>
                <c:pt idx="104">
                  <c:v>0.225333333333333</c:v>
                </c:pt>
                <c:pt idx="105">
                  <c:v>0.2275</c:v>
                </c:pt>
                <c:pt idx="106">
                  <c:v>0.229666666666667</c:v>
                </c:pt>
                <c:pt idx="107">
                  <c:v>0.231833333333333</c:v>
                </c:pt>
                <c:pt idx="108">
                  <c:v>0.234</c:v>
                </c:pt>
                <c:pt idx="109">
                  <c:v>0.236166666666667</c:v>
                </c:pt>
                <c:pt idx="110">
                  <c:v>0.238333333333333</c:v>
                </c:pt>
                <c:pt idx="111">
                  <c:v>0.2405</c:v>
                </c:pt>
                <c:pt idx="112">
                  <c:v>0.242666666666667</c:v>
                </c:pt>
                <c:pt idx="113">
                  <c:v>0.244833333333333</c:v>
                </c:pt>
                <c:pt idx="114">
                  <c:v>0.247</c:v>
                </c:pt>
                <c:pt idx="115">
                  <c:v>0.249166666666667</c:v>
                </c:pt>
                <c:pt idx="116">
                  <c:v>0.251333333333333</c:v>
                </c:pt>
                <c:pt idx="117">
                  <c:v>0.2535</c:v>
                </c:pt>
                <c:pt idx="118">
                  <c:v>0.255666666666667</c:v>
                </c:pt>
                <c:pt idx="119">
                  <c:v>0.257833333333333</c:v>
                </c:pt>
                <c:pt idx="120">
                  <c:v>0.26</c:v>
                </c:pt>
                <c:pt idx="121">
                  <c:v>0.262166666666667</c:v>
                </c:pt>
                <c:pt idx="122">
                  <c:v>0.264333333333333</c:v>
                </c:pt>
                <c:pt idx="123">
                  <c:v>0.2665</c:v>
                </c:pt>
                <c:pt idx="124">
                  <c:v>0.268666666666667</c:v>
                </c:pt>
                <c:pt idx="125">
                  <c:v>0.270833333333333</c:v>
                </c:pt>
                <c:pt idx="126">
                  <c:v>0.273</c:v>
                </c:pt>
                <c:pt idx="127">
                  <c:v>0.275166666666667</c:v>
                </c:pt>
                <c:pt idx="128">
                  <c:v>0.277333333333333</c:v>
                </c:pt>
                <c:pt idx="129">
                  <c:v>0.2795</c:v>
                </c:pt>
                <c:pt idx="130">
                  <c:v>0.281666666666667</c:v>
                </c:pt>
                <c:pt idx="131">
                  <c:v>0.283833333333333</c:v>
                </c:pt>
                <c:pt idx="132">
                  <c:v>0.286</c:v>
                </c:pt>
                <c:pt idx="133">
                  <c:v>0.288166666666667</c:v>
                </c:pt>
                <c:pt idx="134">
                  <c:v>0.290333333333333</c:v>
                </c:pt>
                <c:pt idx="135">
                  <c:v>0.2925</c:v>
                </c:pt>
                <c:pt idx="136">
                  <c:v>0.294666666666667</c:v>
                </c:pt>
                <c:pt idx="137">
                  <c:v>0.296833333333333</c:v>
                </c:pt>
                <c:pt idx="138">
                  <c:v>0.299</c:v>
                </c:pt>
                <c:pt idx="139">
                  <c:v>0.301166666666667</c:v>
                </c:pt>
                <c:pt idx="140">
                  <c:v>0.303333333333333</c:v>
                </c:pt>
                <c:pt idx="141">
                  <c:v>0.3055</c:v>
                </c:pt>
                <c:pt idx="142">
                  <c:v>0.307666666666667</c:v>
                </c:pt>
                <c:pt idx="143">
                  <c:v>0.309833333333333</c:v>
                </c:pt>
                <c:pt idx="144">
                  <c:v>0.312</c:v>
                </c:pt>
                <c:pt idx="145">
                  <c:v>0.314166666666667</c:v>
                </c:pt>
                <c:pt idx="146">
                  <c:v>0.316333333333333</c:v>
                </c:pt>
                <c:pt idx="147">
                  <c:v>0.3185</c:v>
                </c:pt>
                <c:pt idx="148">
                  <c:v>0.320666666666667</c:v>
                </c:pt>
                <c:pt idx="149">
                  <c:v>0.322833333333333</c:v>
                </c:pt>
                <c:pt idx="150">
                  <c:v>0.325</c:v>
                </c:pt>
              </c:numCache>
            </c:numRef>
          </c:yVal>
          <c:smooth val="1"/>
        </c:ser>
        <c:ser>
          <c:idx val="3"/>
          <c:order val="3"/>
          <c:tx>
            <c:strRef>
              <c:f>"RCS"</c:f>
              <c:strCache>
                <c:ptCount val="1"/>
                <c:pt idx="0">
                  <c:v>RCS</c:v>
                </c:pt>
              </c:strCache>
            </c:strRef>
          </c:tx>
          <c:marker>
            <c:symbol val="none"/>
          </c:marker>
          <c:dLbls>
            <c:delete val="1"/>
          </c:dLbls>
          <c:xVal>
            <c:numRef>
              <c:f>Eff_vs_IOUT!$S$7:$S$157</c:f>
              <c:numCache>
                <c:formatCode>General</c:formatCode>
                <c:ptCount val="151"/>
                <c:pt idx="0">
                  <c:v>0</c:v>
                </c:pt>
                <c:pt idx="1">
                  <c:v>0.00666666666666667</c:v>
                </c:pt>
                <c:pt idx="2">
                  <c:v>0.0133333333333333</c:v>
                </c:pt>
                <c:pt idx="3">
                  <c:v>0.02</c:v>
                </c:pt>
                <c:pt idx="4">
                  <c:v>0.0266666666666667</c:v>
                </c:pt>
                <c:pt idx="5">
                  <c:v>0.0333333333333333</c:v>
                </c:pt>
                <c:pt idx="6">
                  <c:v>0.04</c:v>
                </c:pt>
                <c:pt idx="7">
                  <c:v>0.0466666666666667</c:v>
                </c:pt>
                <c:pt idx="8">
                  <c:v>0.0533333333333333</c:v>
                </c:pt>
                <c:pt idx="9">
                  <c:v>0.06</c:v>
                </c:pt>
                <c:pt idx="10">
                  <c:v>0.0666666666666667</c:v>
                </c:pt>
                <c:pt idx="11">
                  <c:v>0.0733333333333333</c:v>
                </c:pt>
                <c:pt idx="12">
                  <c:v>0.08</c:v>
                </c:pt>
                <c:pt idx="13">
                  <c:v>0.0866666666666667</c:v>
                </c:pt>
                <c:pt idx="14">
                  <c:v>0.0933333333333333</c:v>
                </c:pt>
                <c:pt idx="15">
                  <c:v>0.1</c:v>
                </c:pt>
                <c:pt idx="16">
                  <c:v>0.106666666666667</c:v>
                </c:pt>
                <c:pt idx="17">
                  <c:v>0.113333333333333</c:v>
                </c:pt>
                <c:pt idx="18">
                  <c:v>0.12</c:v>
                </c:pt>
                <c:pt idx="19">
                  <c:v>0.126666666666667</c:v>
                </c:pt>
                <c:pt idx="20">
                  <c:v>0.133333333333333</c:v>
                </c:pt>
                <c:pt idx="21">
                  <c:v>0.14</c:v>
                </c:pt>
                <c:pt idx="22">
                  <c:v>0.146666666666667</c:v>
                </c:pt>
                <c:pt idx="23">
                  <c:v>0.153333333333333</c:v>
                </c:pt>
                <c:pt idx="24">
                  <c:v>0.16</c:v>
                </c:pt>
                <c:pt idx="25">
                  <c:v>0.166666666666667</c:v>
                </c:pt>
                <c:pt idx="26">
                  <c:v>0.173333333333333</c:v>
                </c:pt>
                <c:pt idx="27">
                  <c:v>0.18</c:v>
                </c:pt>
                <c:pt idx="28">
                  <c:v>0.186666666666667</c:v>
                </c:pt>
                <c:pt idx="29">
                  <c:v>0.193333333333333</c:v>
                </c:pt>
                <c:pt idx="30">
                  <c:v>0.2</c:v>
                </c:pt>
                <c:pt idx="31">
                  <c:v>0.206666666666667</c:v>
                </c:pt>
                <c:pt idx="32">
                  <c:v>0.213333333333333</c:v>
                </c:pt>
                <c:pt idx="33">
                  <c:v>0.22</c:v>
                </c:pt>
                <c:pt idx="34">
                  <c:v>0.226666666666667</c:v>
                </c:pt>
                <c:pt idx="35">
                  <c:v>0.233333333333333</c:v>
                </c:pt>
                <c:pt idx="36">
                  <c:v>0.24</c:v>
                </c:pt>
                <c:pt idx="37">
                  <c:v>0.246666666666667</c:v>
                </c:pt>
                <c:pt idx="38">
                  <c:v>0.253333333333333</c:v>
                </c:pt>
                <c:pt idx="39">
                  <c:v>0.26</c:v>
                </c:pt>
                <c:pt idx="40">
                  <c:v>0.266666666666667</c:v>
                </c:pt>
                <c:pt idx="41">
                  <c:v>0.273333333333333</c:v>
                </c:pt>
                <c:pt idx="42">
                  <c:v>0.28</c:v>
                </c:pt>
                <c:pt idx="43">
                  <c:v>0.286666666666667</c:v>
                </c:pt>
                <c:pt idx="44">
                  <c:v>0.293333333333333</c:v>
                </c:pt>
                <c:pt idx="45">
                  <c:v>0.3</c:v>
                </c:pt>
                <c:pt idx="46">
                  <c:v>0.306666666666667</c:v>
                </c:pt>
                <c:pt idx="47">
                  <c:v>0.313333333333333</c:v>
                </c:pt>
                <c:pt idx="48">
                  <c:v>0.32</c:v>
                </c:pt>
                <c:pt idx="49">
                  <c:v>0.326666666666667</c:v>
                </c:pt>
                <c:pt idx="50">
                  <c:v>0.333333333333333</c:v>
                </c:pt>
                <c:pt idx="51">
                  <c:v>0.34</c:v>
                </c:pt>
                <c:pt idx="52">
                  <c:v>0.346666666666667</c:v>
                </c:pt>
                <c:pt idx="53">
                  <c:v>0.353333333333333</c:v>
                </c:pt>
                <c:pt idx="54">
                  <c:v>0.36</c:v>
                </c:pt>
                <c:pt idx="55">
                  <c:v>0.366666666666667</c:v>
                </c:pt>
                <c:pt idx="56">
                  <c:v>0.373333333333333</c:v>
                </c:pt>
                <c:pt idx="57">
                  <c:v>0.38</c:v>
                </c:pt>
                <c:pt idx="58">
                  <c:v>0.386666666666667</c:v>
                </c:pt>
                <c:pt idx="59">
                  <c:v>0.393333333333333</c:v>
                </c:pt>
                <c:pt idx="60">
                  <c:v>0.4</c:v>
                </c:pt>
                <c:pt idx="61">
                  <c:v>0.406666666666667</c:v>
                </c:pt>
                <c:pt idx="62">
                  <c:v>0.413333333333333</c:v>
                </c:pt>
                <c:pt idx="63">
                  <c:v>0.42</c:v>
                </c:pt>
                <c:pt idx="64">
                  <c:v>0.426666666666667</c:v>
                </c:pt>
                <c:pt idx="65">
                  <c:v>0.433333333333333</c:v>
                </c:pt>
                <c:pt idx="66">
                  <c:v>0.44</c:v>
                </c:pt>
                <c:pt idx="67">
                  <c:v>0.446666666666667</c:v>
                </c:pt>
                <c:pt idx="68">
                  <c:v>0.453333333333333</c:v>
                </c:pt>
                <c:pt idx="69">
                  <c:v>0.46</c:v>
                </c:pt>
                <c:pt idx="70">
                  <c:v>0.466666666666667</c:v>
                </c:pt>
                <c:pt idx="71">
                  <c:v>0.473333333333333</c:v>
                </c:pt>
                <c:pt idx="72">
                  <c:v>0.48</c:v>
                </c:pt>
                <c:pt idx="73">
                  <c:v>0.486666666666667</c:v>
                </c:pt>
                <c:pt idx="74">
                  <c:v>0.493333333333333</c:v>
                </c:pt>
                <c:pt idx="75">
                  <c:v>0.5</c:v>
                </c:pt>
                <c:pt idx="76">
                  <c:v>0.506666666666667</c:v>
                </c:pt>
                <c:pt idx="77">
                  <c:v>0.513333333333333</c:v>
                </c:pt>
                <c:pt idx="78">
                  <c:v>0.52</c:v>
                </c:pt>
                <c:pt idx="79">
                  <c:v>0.526666666666667</c:v>
                </c:pt>
                <c:pt idx="80">
                  <c:v>0.533333333333333</c:v>
                </c:pt>
                <c:pt idx="81">
                  <c:v>0.54</c:v>
                </c:pt>
                <c:pt idx="82">
                  <c:v>0.546666666666667</c:v>
                </c:pt>
                <c:pt idx="83">
                  <c:v>0.553333333333333</c:v>
                </c:pt>
                <c:pt idx="84">
                  <c:v>0.56</c:v>
                </c:pt>
                <c:pt idx="85">
                  <c:v>0.566666666666667</c:v>
                </c:pt>
                <c:pt idx="86">
                  <c:v>0.573333333333333</c:v>
                </c:pt>
                <c:pt idx="87">
                  <c:v>0.58</c:v>
                </c:pt>
                <c:pt idx="88">
                  <c:v>0.586666666666667</c:v>
                </c:pt>
                <c:pt idx="89">
                  <c:v>0.593333333333333</c:v>
                </c:pt>
                <c:pt idx="90">
                  <c:v>0.6</c:v>
                </c:pt>
                <c:pt idx="91">
                  <c:v>0.606666666666667</c:v>
                </c:pt>
                <c:pt idx="92">
                  <c:v>0.613333333333333</c:v>
                </c:pt>
                <c:pt idx="93">
                  <c:v>0.62</c:v>
                </c:pt>
                <c:pt idx="94">
                  <c:v>0.626666666666667</c:v>
                </c:pt>
                <c:pt idx="95">
                  <c:v>0.633333333333333</c:v>
                </c:pt>
                <c:pt idx="96">
                  <c:v>0.64</c:v>
                </c:pt>
                <c:pt idx="97">
                  <c:v>0.646666666666667</c:v>
                </c:pt>
                <c:pt idx="98">
                  <c:v>0.653333333333333</c:v>
                </c:pt>
                <c:pt idx="99">
                  <c:v>0.66</c:v>
                </c:pt>
                <c:pt idx="100">
                  <c:v>0.666666666666667</c:v>
                </c:pt>
                <c:pt idx="101">
                  <c:v>0.673333333333333</c:v>
                </c:pt>
                <c:pt idx="102">
                  <c:v>0.68</c:v>
                </c:pt>
                <c:pt idx="103">
                  <c:v>0.686666666666667</c:v>
                </c:pt>
                <c:pt idx="104">
                  <c:v>0.693333333333333</c:v>
                </c:pt>
                <c:pt idx="105">
                  <c:v>0.7</c:v>
                </c:pt>
                <c:pt idx="106">
                  <c:v>0.706666666666667</c:v>
                </c:pt>
                <c:pt idx="107">
                  <c:v>0.713333333333333</c:v>
                </c:pt>
                <c:pt idx="108">
                  <c:v>0.72</c:v>
                </c:pt>
                <c:pt idx="109">
                  <c:v>0.726666666666667</c:v>
                </c:pt>
                <c:pt idx="110">
                  <c:v>0.733333333333333</c:v>
                </c:pt>
                <c:pt idx="111">
                  <c:v>0.74</c:v>
                </c:pt>
                <c:pt idx="112">
                  <c:v>0.746666666666667</c:v>
                </c:pt>
                <c:pt idx="113">
                  <c:v>0.753333333333333</c:v>
                </c:pt>
                <c:pt idx="114">
                  <c:v>0.76</c:v>
                </c:pt>
                <c:pt idx="115">
                  <c:v>0.766666666666667</c:v>
                </c:pt>
                <c:pt idx="116">
                  <c:v>0.773333333333333</c:v>
                </c:pt>
                <c:pt idx="117">
                  <c:v>0.78</c:v>
                </c:pt>
                <c:pt idx="118">
                  <c:v>0.786666666666667</c:v>
                </c:pt>
                <c:pt idx="119">
                  <c:v>0.793333333333333</c:v>
                </c:pt>
                <c:pt idx="120">
                  <c:v>0.8</c:v>
                </c:pt>
                <c:pt idx="121">
                  <c:v>0.806666666666667</c:v>
                </c:pt>
                <c:pt idx="122">
                  <c:v>0.813333333333333</c:v>
                </c:pt>
                <c:pt idx="123">
                  <c:v>0.82</c:v>
                </c:pt>
                <c:pt idx="124">
                  <c:v>0.826666666666667</c:v>
                </c:pt>
                <c:pt idx="125">
                  <c:v>0.833333333333333</c:v>
                </c:pt>
                <c:pt idx="126">
                  <c:v>0.84</c:v>
                </c:pt>
                <c:pt idx="127">
                  <c:v>0.846666666666667</c:v>
                </c:pt>
                <c:pt idx="128">
                  <c:v>0.853333333333333</c:v>
                </c:pt>
                <c:pt idx="129">
                  <c:v>0.86</c:v>
                </c:pt>
                <c:pt idx="130">
                  <c:v>0.866666666666667</c:v>
                </c:pt>
                <c:pt idx="131">
                  <c:v>0.873333333333333</c:v>
                </c:pt>
                <c:pt idx="132">
                  <c:v>0.88</c:v>
                </c:pt>
                <c:pt idx="133">
                  <c:v>0.886666666666667</c:v>
                </c:pt>
                <c:pt idx="134">
                  <c:v>0.893333333333333</c:v>
                </c:pt>
                <c:pt idx="135">
                  <c:v>0.9</c:v>
                </c:pt>
                <c:pt idx="136">
                  <c:v>0.906666666666667</c:v>
                </c:pt>
                <c:pt idx="137">
                  <c:v>0.913333333333333</c:v>
                </c:pt>
                <c:pt idx="138">
                  <c:v>0.92</c:v>
                </c:pt>
                <c:pt idx="139">
                  <c:v>0.926666666666667</c:v>
                </c:pt>
                <c:pt idx="140">
                  <c:v>0.933333333333333</c:v>
                </c:pt>
                <c:pt idx="141">
                  <c:v>0.94</c:v>
                </c:pt>
                <c:pt idx="142">
                  <c:v>0.946666666666667</c:v>
                </c:pt>
                <c:pt idx="143">
                  <c:v>0.953333333333333</c:v>
                </c:pt>
                <c:pt idx="144">
                  <c:v>0.96</c:v>
                </c:pt>
                <c:pt idx="145">
                  <c:v>0.966666666666667</c:v>
                </c:pt>
                <c:pt idx="146">
                  <c:v>0.973333333333333</c:v>
                </c:pt>
                <c:pt idx="147">
                  <c:v>0.98</c:v>
                </c:pt>
                <c:pt idx="148">
                  <c:v>0.986666666666667</c:v>
                </c:pt>
                <c:pt idx="149">
                  <c:v>0.993333333333333</c:v>
                </c:pt>
                <c:pt idx="150">
                  <c:v>1</c:v>
                </c:pt>
              </c:numCache>
            </c:numRef>
          </c:xVal>
          <c:yVal>
            <c:numRef>
              <c:f>Eff_vs_IOUT!$AO$7:$AO$157</c:f>
              <c:numCache>
                <c:formatCode>General</c:formatCode>
                <c:ptCount val="151"/>
                <c:pt idx="0">
                  <c:v>0</c:v>
                </c:pt>
                <c:pt idx="1">
                  <c:v>1.24679123191324e-5</c:v>
                </c:pt>
                <c:pt idx="2">
                  <c:v>4.10155616010747e-5</c:v>
                </c:pt>
                <c:pt idx="3">
                  <c:v>8.41623830529676e-5</c:v>
                </c:pt>
                <c:pt idx="4">
                  <c:v>0.000141772284700086</c:v>
                </c:pt>
                <c:pt idx="5">
                  <c:v>0.000213975167215039</c:v>
                </c:pt>
                <c:pt idx="6">
                  <c:v>0.000301001874476159</c:v>
                </c:pt>
                <c:pt idx="7">
                  <c:v>0.00040312963322975</c:v>
                </c:pt>
                <c:pt idx="8">
                  <c:v>8.99458899049501e-5</c:v>
                </c:pt>
                <c:pt idx="9">
                  <c:v>0.000101438729411123</c:v>
                </c:pt>
                <c:pt idx="10">
                  <c:v>0.000114283667682728</c:v>
                </c:pt>
                <c:pt idx="11">
                  <c:v>0.000128480704719765</c:v>
                </c:pt>
                <c:pt idx="12">
                  <c:v>0.000144029840522234</c:v>
                </c:pt>
                <c:pt idx="13">
                  <c:v>0.000160931075090135</c:v>
                </c:pt>
                <c:pt idx="14">
                  <c:v>0.000179184408423469</c:v>
                </c:pt>
                <c:pt idx="15">
                  <c:v>0.000198789840522234</c:v>
                </c:pt>
                <c:pt idx="16">
                  <c:v>0.000219747371386432</c:v>
                </c:pt>
                <c:pt idx="17">
                  <c:v>0.000242057001016061</c:v>
                </c:pt>
                <c:pt idx="18">
                  <c:v>0.000265718729411123</c:v>
                </c:pt>
                <c:pt idx="19">
                  <c:v>0.000290732556571617</c:v>
                </c:pt>
                <c:pt idx="20">
                  <c:v>0.000317098482497543</c:v>
                </c:pt>
                <c:pt idx="21">
                  <c:v>0.000344816507188901</c:v>
                </c:pt>
                <c:pt idx="22">
                  <c:v>0.000373886630645691</c:v>
                </c:pt>
                <c:pt idx="23">
                  <c:v>0.000404308852867913</c:v>
                </c:pt>
                <c:pt idx="24">
                  <c:v>0.000436083173855567</c:v>
                </c:pt>
                <c:pt idx="25">
                  <c:v>0.000469209593608654</c:v>
                </c:pt>
                <c:pt idx="26">
                  <c:v>0.000503688112127172</c:v>
                </c:pt>
                <c:pt idx="27">
                  <c:v>0.000539518729411123</c:v>
                </c:pt>
                <c:pt idx="28">
                  <c:v>0.000576701445460506</c:v>
                </c:pt>
                <c:pt idx="29">
                  <c:v>0.000615236260275321</c:v>
                </c:pt>
                <c:pt idx="30">
                  <c:v>0.000655123173855567</c:v>
                </c:pt>
                <c:pt idx="31">
                  <c:v>0.000696362186201247</c:v>
                </c:pt>
                <c:pt idx="32">
                  <c:v>0.000738953297312358</c:v>
                </c:pt>
                <c:pt idx="33">
                  <c:v>0.000782896507188901</c:v>
                </c:pt>
                <c:pt idx="34">
                  <c:v>0.000828191815830876</c:v>
                </c:pt>
                <c:pt idx="35">
                  <c:v>0.000874839223238283</c:v>
                </c:pt>
                <c:pt idx="36">
                  <c:v>0.000922838729411123</c:v>
                </c:pt>
                <c:pt idx="37">
                  <c:v>0.000972190334349395</c:v>
                </c:pt>
                <c:pt idx="38">
                  <c:v>0.0010228940380531</c:v>
                </c:pt>
                <c:pt idx="39">
                  <c:v>0.00107494984052223</c:v>
                </c:pt>
                <c:pt idx="40">
                  <c:v>0.0011283577417568</c:v>
                </c:pt>
                <c:pt idx="41">
                  <c:v>0.0011831177417568</c:v>
                </c:pt>
                <c:pt idx="42">
                  <c:v>0.00123922984052223</c:v>
                </c:pt>
                <c:pt idx="43">
                  <c:v>0.0012966940380531</c:v>
                </c:pt>
                <c:pt idx="44">
                  <c:v>0.00135551033434939</c:v>
                </c:pt>
                <c:pt idx="45">
                  <c:v>0.00141567872941112</c:v>
                </c:pt>
                <c:pt idx="46">
                  <c:v>0.00147719922323828</c:v>
                </c:pt>
                <c:pt idx="47">
                  <c:v>0.00154007181583088</c:v>
                </c:pt>
                <c:pt idx="48">
                  <c:v>0.0016042965071889</c:v>
                </c:pt>
                <c:pt idx="49">
                  <c:v>0.00166987329731236</c:v>
                </c:pt>
                <c:pt idx="50">
                  <c:v>0.00173680218620125</c:v>
                </c:pt>
                <c:pt idx="51">
                  <c:v>0.00180508317385557</c:v>
                </c:pt>
                <c:pt idx="52">
                  <c:v>0.00187471626027532</c:v>
                </c:pt>
                <c:pt idx="53">
                  <c:v>0.00194570144546051</c:v>
                </c:pt>
                <c:pt idx="54">
                  <c:v>0.00201803872941112</c:v>
                </c:pt>
                <c:pt idx="55">
                  <c:v>0.00209172811212717</c:v>
                </c:pt>
                <c:pt idx="56">
                  <c:v>0.00216676959360865</c:v>
                </c:pt>
                <c:pt idx="57">
                  <c:v>0.00224316317385557</c:v>
                </c:pt>
                <c:pt idx="58">
                  <c:v>0.00232090885286791</c:v>
                </c:pt>
                <c:pt idx="59">
                  <c:v>0.00240000663064569</c:v>
                </c:pt>
                <c:pt idx="60">
                  <c:v>0.0024804565071889</c:v>
                </c:pt>
                <c:pt idx="61">
                  <c:v>0.00256225848249754</c:v>
                </c:pt>
                <c:pt idx="62">
                  <c:v>0.00264541255657162</c:v>
                </c:pt>
                <c:pt idx="63">
                  <c:v>0.00272991872941112</c:v>
                </c:pt>
                <c:pt idx="64">
                  <c:v>0.00281577700101606</c:v>
                </c:pt>
                <c:pt idx="65">
                  <c:v>0.00290298737138643</c:v>
                </c:pt>
                <c:pt idx="66">
                  <c:v>0.00299154984052224</c:v>
                </c:pt>
                <c:pt idx="67">
                  <c:v>0.00308146440842347</c:v>
                </c:pt>
                <c:pt idx="68">
                  <c:v>0.00317273107509014</c:v>
                </c:pt>
                <c:pt idx="69">
                  <c:v>0.00326534984052223</c:v>
                </c:pt>
                <c:pt idx="70">
                  <c:v>0.00335932070471977</c:v>
                </c:pt>
                <c:pt idx="71">
                  <c:v>0.00345464366768273</c:v>
                </c:pt>
                <c:pt idx="72">
                  <c:v>0.00355131872941112</c:v>
                </c:pt>
                <c:pt idx="73">
                  <c:v>0.00364934588990495</c:v>
                </c:pt>
                <c:pt idx="74">
                  <c:v>0.00374872514916421</c:v>
                </c:pt>
                <c:pt idx="75">
                  <c:v>0.0038494565071889</c:v>
                </c:pt>
                <c:pt idx="76">
                  <c:v>0.00395153996397902</c:v>
                </c:pt>
                <c:pt idx="77">
                  <c:v>0.00405497551953458</c:v>
                </c:pt>
                <c:pt idx="78">
                  <c:v>0.00415976317385557</c:v>
                </c:pt>
                <c:pt idx="79">
                  <c:v>0.00426590292694199</c:v>
                </c:pt>
                <c:pt idx="80">
                  <c:v>0.00437339477879384</c:v>
                </c:pt>
                <c:pt idx="81">
                  <c:v>0.00448223872941112</c:v>
                </c:pt>
                <c:pt idx="82">
                  <c:v>0.00459243477879384</c:v>
                </c:pt>
                <c:pt idx="83">
                  <c:v>0.00470398292694199</c:v>
                </c:pt>
                <c:pt idx="84">
                  <c:v>0.00481688317385557</c:v>
                </c:pt>
                <c:pt idx="85">
                  <c:v>0.00493113551953458</c:v>
                </c:pt>
                <c:pt idx="86">
                  <c:v>0.00504673996397903</c:v>
                </c:pt>
                <c:pt idx="87">
                  <c:v>0.0051636965071889</c:v>
                </c:pt>
                <c:pt idx="88">
                  <c:v>0.00528200514916421</c:v>
                </c:pt>
                <c:pt idx="89">
                  <c:v>0.00540166588990495</c:v>
                </c:pt>
                <c:pt idx="90">
                  <c:v>0.00552267872941113</c:v>
                </c:pt>
                <c:pt idx="91">
                  <c:v>0.00564504366768273</c:v>
                </c:pt>
                <c:pt idx="92">
                  <c:v>0.00576876070471977</c:v>
                </c:pt>
                <c:pt idx="93">
                  <c:v>0.00589382984052223</c:v>
                </c:pt>
                <c:pt idx="94">
                  <c:v>0.00602025107509014</c:v>
                </c:pt>
                <c:pt idx="95">
                  <c:v>0.00614802440842347</c:v>
                </c:pt>
                <c:pt idx="96">
                  <c:v>0.00627714984052224</c:v>
                </c:pt>
                <c:pt idx="97">
                  <c:v>0.00640762737138643</c:v>
                </c:pt>
                <c:pt idx="98">
                  <c:v>0.00653945700101606</c:v>
                </c:pt>
                <c:pt idx="99">
                  <c:v>0.00667263872941112</c:v>
                </c:pt>
                <c:pt idx="100">
                  <c:v>0.00680717255657162</c:v>
                </c:pt>
                <c:pt idx="101">
                  <c:v>0.00694305848249754</c:v>
                </c:pt>
                <c:pt idx="102">
                  <c:v>0.0070802965071889</c:v>
                </c:pt>
                <c:pt idx="103">
                  <c:v>0.00721888663064569</c:v>
                </c:pt>
                <c:pt idx="104">
                  <c:v>0.00735882885286792</c:v>
                </c:pt>
                <c:pt idx="105">
                  <c:v>0.00750012317385557</c:v>
                </c:pt>
                <c:pt idx="106">
                  <c:v>0.00764276959360866</c:v>
                </c:pt>
                <c:pt idx="107">
                  <c:v>0.00778676811212718</c:v>
                </c:pt>
                <c:pt idx="108">
                  <c:v>0.00793211872941113</c:v>
                </c:pt>
                <c:pt idx="109">
                  <c:v>0.00807882144546051</c:v>
                </c:pt>
                <c:pt idx="110">
                  <c:v>0.00822687626027532</c:v>
                </c:pt>
                <c:pt idx="111">
                  <c:v>0.00837628317385557</c:v>
                </c:pt>
                <c:pt idx="112">
                  <c:v>0.00852704218620125</c:v>
                </c:pt>
                <c:pt idx="113">
                  <c:v>0.00867915329731236</c:v>
                </c:pt>
                <c:pt idx="114">
                  <c:v>0.0088326165071889</c:v>
                </c:pt>
                <c:pt idx="115">
                  <c:v>0.00898743181583088</c:v>
                </c:pt>
                <c:pt idx="116">
                  <c:v>0.00914359922323829</c:v>
                </c:pt>
                <c:pt idx="117">
                  <c:v>0.00930111872941113</c:v>
                </c:pt>
                <c:pt idx="118">
                  <c:v>0.0094599903343494</c:v>
                </c:pt>
                <c:pt idx="119">
                  <c:v>0.0096202140380531</c:v>
                </c:pt>
                <c:pt idx="120">
                  <c:v>0.00978178984052223</c:v>
                </c:pt>
                <c:pt idx="121">
                  <c:v>0.0099447177417568</c:v>
                </c:pt>
                <c:pt idx="122">
                  <c:v>0.0101089977417568</c:v>
                </c:pt>
                <c:pt idx="123">
                  <c:v>0.0102746298405222</c:v>
                </c:pt>
                <c:pt idx="124">
                  <c:v>0.0104416140380531</c:v>
                </c:pt>
                <c:pt idx="125">
                  <c:v>0.0106099503343494</c:v>
                </c:pt>
                <c:pt idx="126">
                  <c:v>0.0107796387294111</c:v>
                </c:pt>
                <c:pt idx="127">
                  <c:v>0.0109506792232383</c:v>
                </c:pt>
                <c:pt idx="128">
                  <c:v>0.0111230718158309</c:v>
                </c:pt>
                <c:pt idx="129">
                  <c:v>0.0112968165071889</c:v>
                </c:pt>
                <c:pt idx="130">
                  <c:v>0.0114719132973124</c:v>
                </c:pt>
                <c:pt idx="131">
                  <c:v>0.0116483621862012</c:v>
                </c:pt>
                <c:pt idx="132">
                  <c:v>0.0118261631738556</c:v>
                </c:pt>
                <c:pt idx="133">
                  <c:v>0.0120053162602753</c:v>
                </c:pt>
                <c:pt idx="134">
                  <c:v>0.0121858214454605</c:v>
                </c:pt>
                <c:pt idx="135">
                  <c:v>0.0123676787294111</c:v>
                </c:pt>
                <c:pt idx="136">
                  <c:v>0.0125508881121272</c:v>
                </c:pt>
                <c:pt idx="137">
                  <c:v>0.0127354495936087</c:v>
                </c:pt>
                <c:pt idx="138">
                  <c:v>0.0129213631738556</c:v>
                </c:pt>
                <c:pt idx="139">
                  <c:v>0.0131086288528679</c:v>
                </c:pt>
                <c:pt idx="140">
                  <c:v>0.0132972466306457</c:v>
                </c:pt>
                <c:pt idx="141">
                  <c:v>0.0134872165071889</c:v>
                </c:pt>
                <c:pt idx="142">
                  <c:v>0.0136785384824975</c:v>
                </c:pt>
                <c:pt idx="143">
                  <c:v>0.0138712125565716</c:v>
                </c:pt>
                <c:pt idx="144">
                  <c:v>0.0140652387294111</c:v>
                </c:pt>
                <c:pt idx="145">
                  <c:v>0.0142606170010161</c:v>
                </c:pt>
                <c:pt idx="146">
                  <c:v>0.0144573473713864</c:v>
                </c:pt>
                <c:pt idx="147">
                  <c:v>0.0146554298405222</c:v>
                </c:pt>
                <c:pt idx="148">
                  <c:v>0.0148548644084235</c:v>
                </c:pt>
                <c:pt idx="149">
                  <c:v>0.0150556510750901</c:v>
                </c:pt>
                <c:pt idx="150">
                  <c:v>0.0152577898405222</c:v>
                </c:pt>
              </c:numCache>
            </c:numRef>
          </c:yVal>
          <c:smooth val="1"/>
        </c:ser>
        <c:dLbls>
          <c:showLegendKey val="0"/>
          <c:showVal val="0"/>
          <c:showCatName val="0"/>
          <c:showSerName val="0"/>
          <c:showPercent val="0"/>
          <c:showBubbleSize val="0"/>
        </c:dLbls>
        <c:axId val="175652224"/>
        <c:axId val="175650688"/>
      </c:scatterChart>
      <c:valAx>
        <c:axId val="175638784"/>
        <c:scaling>
          <c:orientation val="minMax"/>
          <c:max val="6"/>
        </c:scaling>
        <c:delete val="0"/>
        <c:axPos val="b"/>
        <c:majorGridlines/>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648768"/>
        <c:crosses val="autoZero"/>
        <c:crossBetween val="midCat"/>
      </c:valAx>
      <c:valAx>
        <c:axId val="175648768"/>
        <c:scaling>
          <c:orientation val="minMax"/>
          <c:max val="100"/>
          <c:min val="60"/>
        </c:scaling>
        <c:delete val="0"/>
        <c:axPos val="l"/>
        <c:majorGridlines/>
        <c:title>
          <c:layout/>
          <c:overlay val="0"/>
          <c:txPr>
            <a:bodyPr rot="-5400000" spcFirstLastPara="0" vertOverflow="ellipsis" vert="horz" wrap="square" anchor="ctr" anchorCtr="1"/>
            <a:lstStyle/>
            <a:p>
              <a:pPr>
                <a:defRPr lang="pl-PL" sz="1000" b="1" i="0" u="none" strike="noStrike" kern="1200" baseline="0">
                  <a:solidFill>
                    <a:schemeClr val="tx1"/>
                  </a:solidFill>
                  <a:latin typeface="+mn-lt"/>
                  <a:ea typeface="+mn-ea"/>
                  <a:cs typeface="+mn-cs"/>
                </a:defRPr>
              </a:pPr>
            </a:p>
          </c:txPr>
        </c:title>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638784"/>
        <c:crosses val="autoZero"/>
        <c:crossBetween val="midCat"/>
      </c:valAx>
      <c:valAx>
        <c:axId val="175652224"/>
        <c:scaling>
          <c:orientation val="minMax"/>
        </c:scaling>
        <c:delete val="1"/>
        <c:axPos val="b"/>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650688"/>
        <c:crosses val="autoZero"/>
        <c:crossBetween val="midCat"/>
      </c:valAx>
      <c:valAx>
        <c:axId val="175650688"/>
        <c:scaling>
          <c:orientation val="minMax"/>
        </c:scaling>
        <c:delete val="0"/>
        <c:axPos val="r"/>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652224"/>
        <c:crosses val="max"/>
        <c:crossBetween val="midCat"/>
      </c:valAx>
    </c:plotArea>
    <c:legend>
      <c:legendPos val="r"/>
      <c:layout/>
      <c:overlay val="1"/>
      <c:txPr>
        <a:bodyPr rot="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f6eea4e-b311-416f-b1dc-ac8101a9df17}"/>
      </c:ext>
    </c:extLst>
  </c:chart>
  <c:txPr>
    <a:bodyPr/>
    <a:lstStyle/>
    <a:p>
      <a:pPr>
        <a:defRPr lang="pl-PL"/>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pl-PL" sz="1800" b="1" i="0" u="none" strike="noStrike" kern="1200" baseline="0">
                <a:solidFill>
                  <a:schemeClr val="tx1"/>
                </a:solidFill>
                <a:latin typeface="+mn-lt"/>
                <a:ea typeface="+mn-ea"/>
                <a:cs typeface="+mn-cs"/>
              </a:defRPr>
            </a:pPr>
            <a:r>
              <a:rPr lang="en-US"/>
              <a:t>CCM Plant Transfer</a:t>
            </a:r>
            <a:r>
              <a:rPr lang="en-US" baseline="0"/>
              <a:t> Function</a:t>
            </a:r>
            <a:endParaRPr lang="en-US"/>
          </a:p>
        </c:rich>
      </c:tx>
      <c:layout/>
      <c:overlay val="0"/>
    </c:title>
    <c:autoTitleDeleted val="0"/>
    <c:plotArea>
      <c:layout/>
      <c:scatterChart>
        <c:scatterStyle val="smooth"/>
        <c:varyColors val="0"/>
        <c:ser>
          <c:idx val="0"/>
          <c:order val="0"/>
          <c:tx>
            <c:strRef>
              <c:f>"Gain(dB)"</c:f>
              <c:strCache>
                <c:ptCount val="1"/>
                <c:pt idx="0">
                  <c:v>Gain(dB)</c:v>
                </c:pt>
              </c:strCache>
            </c:strRef>
          </c:tx>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Loop_Modeling!$AD$19:$AD$560</c:f>
              <c:numCache>
                <c:formatCode>0.000</c:formatCode>
                <c:ptCount val="542"/>
                <c:pt idx="0">
                  <c:v>39.6187732822543</c:v>
                </c:pt>
                <c:pt idx="1">
                  <c:v>39.6172770658894</c:v>
                </c:pt>
                <c:pt idx="2">
                  <c:v>39.615710887394</c:v>
                </c:pt>
                <c:pt idx="3">
                  <c:v>39.6140715024095</c:v>
                </c:pt>
                <c:pt idx="4">
                  <c:v>39.6123555187107</c:v>
                </c:pt>
                <c:pt idx="5">
                  <c:v>39.6105593897131</c:v>
                </c:pt>
                <c:pt idx="6">
                  <c:v>39.6086794077195</c:v>
                </c:pt>
                <c:pt idx="7">
                  <c:v>39.6067116968964</c:v>
                </c:pt>
                <c:pt idx="8">
                  <c:v>39.6046522059732</c:v>
                </c:pt>
                <c:pt idx="9">
                  <c:v>39.6024967006543</c:v>
                </c:pt>
                <c:pt idx="10">
                  <c:v>39.6002407557383</c:v>
                </c:pt>
                <c:pt idx="11">
                  <c:v>39.5978797469339</c:v>
                </c:pt>
                <c:pt idx="12">
                  <c:v>39.5954088423658</c:v>
                </c:pt>
                <c:pt idx="13">
                  <c:v>39.5928229937622</c:v>
                </c:pt>
                <c:pt idx="14">
                  <c:v>39.5901169273177</c:v>
                </c:pt>
                <c:pt idx="15">
                  <c:v>39.5872851342216</c:v>
                </c:pt>
                <c:pt idx="16">
                  <c:v>39.5843218608477</c:v>
                </c:pt>
                <c:pt idx="17">
                  <c:v>39.5812210985973</c:v>
                </c:pt>
                <c:pt idx="18">
                  <c:v>39.5779765733896</c:v>
                </c:pt>
                <c:pt idx="19">
                  <c:v>39.5745817347945</c:v>
                </c:pt>
                <c:pt idx="20">
                  <c:v>39.5710297448033</c:v>
                </c:pt>
                <c:pt idx="21">
                  <c:v>39.5673134662325</c:v>
                </c:pt>
                <c:pt idx="22">
                  <c:v>39.5634254507584</c:v>
                </c:pt>
                <c:pt idx="23">
                  <c:v>39.5593579265806</c:v>
                </c:pt>
                <c:pt idx="24">
                  <c:v>39.5551027857126</c:v>
                </c:pt>
                <c:pt idx="25">
                  <c:v>39.550651570902</c:v>
                </c:pt>
                <c:pt idx="26">
                  <c:v>39.5459954621795</c:v>
                </c:pt>
                <c:pt idx="27">
                  <c:v>39.5411252630429</c:v>
                </c:pt>
                <c:pt idx="28">
                  <c:v>39.53603138628</c:v>
                </c:pt>
                <c:pt idx="29">
                  <c:v>39.5307038394381</c:v>
                </c:pt>
                <c:pt idx="30">
                  <c:v>39.5251322099505</c:v>
                </c:pt>
                <c:pt idx="31">
                  <c:v>39.5193056499307</c:v>
                </c:pt>
                <c:pt idx="32">
                  <c:v>39.5132128606505</c:v>
                </c:pt>
                <c:pt idx="33">
                  <c:v>39.5068420767188</c:v>
                </c:pt>
                <c:pt idx="34">
                  <c:v>39.5001810499819</c:v>
                </c:pt>
                <c:pt idx="35">
                  <c:v>39.493217033171</c:v>
                </c:pt>
                <c:pt idx="36">
                  <c:v>39.4859367633223</c:v>
                </c:pt>
                <c:pt idx="37">
                  <c:v>39.4783264450051</c:v>
                </c:pt>
                <c:pt idx="38">
                  <c:v>39.4703717333914</c:v>
                </c:pt>
                <c:pt idx="39">
                  <c:v>39.4620577172105</c:v>
                </c:pt>
                <c:pt idx="40">
                  <c:v>39.4533689016327</c:v>
                </c:pt>
                <c:pt idx="41">
                  <c:v>39.4442891911355</c:v>
                </c:pt>
                <c:pt idx="42">
                  <c:v>39.4348018724083</c:v>
                </c:pt>
                <c:pt idx="43">
                  <c:v>39.4248895973589</c:v>
                </c:pt>
                <c:pt idx="44">
                  <c:v>39.4145343662918</c:v>
                </c:pt>
                <c:pt idx="45">
                  <c:v>39.4037175113347</c:v>
                </c:pt>
                <c:pt idx="46">
                  <c:v>39.3924196801951</c:v>
                </c:pt>
                <c:pt idx="47">
                  <c:v>39.3806208203398</c:v>
                </c:pt>
                <c:pt idx="48">
                  <c:v>39.3683001636936</c:v>
                </c:pt>
                <c:pt idx="49">
                  <c:v>39.3554362119643</c:v>
                </c:pt>
                <c:pt idx="50">
                  <c:v>39.3420067227077</c:v>
                </c:pt>
                <c:pt idx="51">
                  <c:v>39.3279886962553</c:v>
                </c:pt>
                <c:pt idx="52">
                  <c:v>39.3133583636353</c:v>
                </c:pt>
                <c:pt idx="53">
                  <c:v>39.2980911756261</c:v>
                </c:pt>
                <c:pt idx="54">
                  <c:v>39.2821617930901</c:v>
                </c:pt>
                <c:pt idx="55">
                  <c:v>39.2655440787439</c:v>
                </c:pt>
                <c:pt idx="56">
                  <c:v>39.2482110905284</c:v>
                </c:pt>
                <c:pt idx="57">
                  <c:v>39.230135076752</c:v>
                </c:pt>
                <c:pt idx="58">
                  <c:v>39.2112874731848</c:v>
                </c:pt>
                <c:pt idx="59">
                  <c:v>39.1916389022914</c:v>
                </c:pt>
                <c:pt idx="60">
                  <c:v>39.1711591747938</c:v>
                </c:pt>
                <c:pt idx="61">
                  <c:v>39.1498172937627</c:v>
                </c:pt>
                <c:pt idx="62">
                  <c:v>39.1275814614388</c:v>
                </c:pt>
                <c:pt idx="63">
                  <c:v>39.10441908899</c:v>
                </c:pt>
                <c:pt idx="64">
                  <c:v>39.0802968094095</c:v>
                </c:pt>
                <c:pt idx="65">
                  <c:v>39.0551804937633</c:v>
                </c:pt>
                <c:pt idx="66">
                  <c:v>39.0290352709918</c:v>
                </c:pt>
                <c:pt idx="67">
                  <c:v>39.0018255514645</c:v>
                </c:pt>
                <c:pt idx="68">
                  <c:v>38.9735150544864</c:v>
                </c:pt>
                <c:pt idx="69">
                  <c:v>38.944066839939</c:v>
                </c:pt>
                <c:pt idx="70">
                  <c:v>38.9134433442337</c:v>
                </c:pt>
                <c:pt idx="71">
                  <c:v>38.8816064207374</c:v>
                </c:pt>
                <c:pt idx="72">
                  <c:v>38.8485173848147</c:v>
                </c:pt>
                <c:pt idx="73">
                  <c:v>38.8141370636112</c:v>
                </c:pt>
                <c:pt idx="74">
                  <c:v>38.7784258506768</c:v>
                </c:pt>
                <c:pt idx="75">
                  <c:v>38.7413437655034</c:v>
                </c:pt>
                <c:pt idx="76">
                  <c:v>38.7028505180193</c:v>
                </c:pt>
                <c:pt idx="77">
                  <c:v>38.6629055780493</c:v>
                </c:pt>
                <c:pt idx="78">
                  <c:v>38.6214682497124</c:v>
                </c:pt>
                <c:pt idx="79">
                  <c:v>38.5784977506894</c:v>
                </c:pt>
                <c:pt idx="80">
                  <c:v>38.5339532962461</c:v>
                </c:pt>
                <c:pt idx="81">
                  <c:v>38.4877941878572</c:v>
                </c:pt>
                <c:pt idx="82">
                  <c:v>38.4399799062214</c:v>
                </c:pt>
                <c:pt idx="83">
                  <c:v>38.3904702084118</c:v>
                </c:pt>
                <c:pt idx="84">
                  <c:v>38.3392252288526</c:v>
                </c:pt>
                <c:pt idx="85">
                  <c:v>38.2862055837585</c:v>
                </c:pt>
                <c:pt idx="86">
                  <c:v>38.231372478624</c:v>
                </c:pt>
                <c:pt idx="87">
                  <c:v>38.1746878182928</c:v>
                </c:pt>
                <c:pt idx="88">
                  <c:v>38.1161143190893</c:v>
                </c:pt>
                <c:pt idx="89">
                  <c:v>38.055615622445</c:v>
                </c:pt>
                <c:pt idx="90">
                  <c:v>37.9931564094053</c:v>
                </c:pt>
                <c:pt idx="91">
                  <c:v>37.9287025153612</c:v>
                </c:pt>
                <c:pt idx="92">
                  <c:v>37.8622210443138</c:v>
                </c:pt>
                <c:pt idx="93">
                  <c:v>37.7936804819473</c:v>
                </c:pt>
                <c:pt idx="94">
                  <c:v>37.7230508067616</c:v>
                </c:pt>
                <c:pt idx="95">
                  <c:v>37.6503035985001</c:v>
                </c:pt>
                <c:pt idx="96">
                  <c:v>37.5754121430959</c:v>
                </c:pt>
                <c:pt idx="97">
                  <c:v>37.4983515333629</c:v>
                </c:pt>
                <c:pt idx="98">
                  <c:v>37.4190987646634</c:v>
                </c:pt>
                <c:pt idx="99">
                  <c:v>37.3376328248054</c:v>
                </c:pt>
                <c:pt idx="100">
                  <c:v>37.2539347774476</c:v>
                </c:pt>
                <c:pt idx="101">
                  <c:v>37.1679878383285</c:v>
                </c:pt>
                <c:pt idx="102">
                  <c:v>37.0797774436842</c:v>
                </c:pt>
                <c:pt idx="103">
                  <c:v>36.9892913102712</c:v>
                </c:pt>
                <c:pt idx="104">
                  <c:v>36.8965194864796</c:v>
                </c:pt>
                <c:pt idx="105">
                  <c:v>36.801454394088</c:v>
                </c:pt>
                <c:pt idx="106">
                  <c:v>36.704090860294</c:v>
                </c:pt>
                <c:pt idx="107">
                  <c:v>36.604426139736</c:v>
                </c:pt>
                <c:pt idx="108">
                  <c:v>36.5024599263085</c:v>
                </c:pt>
                <c:pt idx="109">
                  <c:v>36.3981943546679</c:v>
                </c:pt>
                <c:pt idx="110">
                  <c:v>36.2916339914137</c:v>
                </c:pt>
                <c:pt idx="111">
                  <c:v>36.1827858160265</c:v>
                </c:pt>
                <c:pt idx="112">
                  <c:v>36.071659191735</c:v>
                </c:pt>
                <c:pt idx="113">
                  <c:v>35.9582658265693</c:v>
                </c:pt>
                <c:pt idx="114">
                  <c:v>35.8426197249512</c:v>
                </c:pt>
                <c:pt idx="115">
                  <c:v>35.7247371302408</c:v>
                </c:pt>
                <c:pt idx="116">
                  <c:v>35.6046364587426</c:v>
                </c:pt>
                <c:pt idx="117">
                  <c:v>35.4823382257335</c:v>
                </c:pt>
                <c:pt idx="118">
                  <c:v>35.3578649641363</c:v>
                </c:pt>
                <c:pt idx="119">
                  <c:v>35.231241136509</c:v>
                </c:pt>
                <c:pt idx="120">
                  <c:v>35.1024930410639</c:v>
                </c:pt>
                <c:pt idx="121">
                  <c:v>34.9716487124571</c:v>
                </c:pt>
                <c:pt idx="122">
                  <c:v>34.8387378181108</c:v>
                </c:pt>
                <c:pt idx="123">
                  <c:v>34.7037915508451</c:v>
                </c:pt>
                <c:pt idx="124">
                  <c:v>34.566842518592</c:v>
                </c:pt>
                <c:pt idx="125">
                  <c:v>34.4279246319646</c:v>
                </c:pt>
                <c:pt idx="126">
                  <c:v>34.2870729904335</c:v>
                </c:pt>
                <c:pt idx="127">
                  <c:v>34.1443237678438</c:v>
                </c:pt>
                <c:pt idx="128">
                  <c:v>33.9997140979733</c:v>
                </c:pt>
                <c:pt idx="129">
                  <c:v>33.8532819608008</c:v>
                </c:pt>
                <c:pt idx="130">
                  <c:v>33.7050660701089</c:v>
                </c:pt>
                <c:pt idx="131">
                  <c:v>33.5551057630041</c:v>
                </c:pt>
                <c:pt idx="132">
                  <c:v>33.4034408918856</c:v>
                </c:pt>
                <c:pt idx="133">
                  <c:v>33.2501117193468</c:v>
                </c:pt>
                <c:pt idx="134">
                  <c:v>33.0951588164398</c:v>
                </c:pt>
                <c:pt idx="135">
                  <c:v>32.9386229646783</c:v>
                </c:pt>
                <c:pt idx="136">
                  <c:v>32.7805450621059</c:v>
                </c:pt>
                <c:pt idx="137">
                  <c:v>32.6209660337002</c:v>
                </c:pt>
                <c:pt idx="138">
                  <c:v>32.4599267463345</c:v>
                </c:pt>
                <c:pt idx="139">
                  <c:v>32.2974679284681</c:v>
                </c:pt>
                <c:pt idx="140">
                  <c:v>32.1336300946923</c:v>
                </c:pt>
                <c:pt idx="141">
                  <c:v>31.9684534752112</c:v>
                </c:pt>
                <c:pt idx="142">
                  <c:v>31.8019779502974</c:v>
                </c:pt>
                <c:pt idx="143">
                  <c:v>31.6342429897253</c:v>
                </c:pt>
                <c:pt idx="144">
                  <c:v>31.4652875971473</c:v>
                </c:pt>
                <c:pt idx="145">
                  <c:v>31.2951502593502</c:v>
                </c:pt>
                <c:pt idx="146">
                  <c:v>31.1238689002975</c:v>
                </c:pt>
                <c:pt idx="147">
                  <c:v>30.9514808398437</c:v>
                </c:pt>
                <c:pt idx="148">
                  <c:v>30.7780227569787</c:v>
                </c:pt>
                <c:pt idx="149">
                  <c:v>30.6035306574508</c:v>
                </c:pt>
                <c:pt idx="150">
                  <c:v>30.4280398455934</c:v>
                </c:pt>
                <c:pt idx="151">
                  <c:v>30.2515849001765</c:v>
                </c:pt>
                <c:pt idx="152">
                  <c:v>30.0741996540882</c:v>
                </c:pt>
                <c:pt idx="153">
                  <c:v>29.895917177649</c:v>
                </c:pt>
                <c:pt idx="154">
                  <c:v>29.7167697653553</c:v>
                </c:pt>
                <c:pt idx="155">
                  <c:v>29.5367889258475</c:v>
                </c:pt>
                <c:pt idx="156">
                  <c:v>29.3560053748963</c:v>
                </c:pt>
                <c:pt idx="157">
                  <c:v>29.1744490312029</c:v>
                </c:pt>
                <c:pt idx="158">
                  <c:v>28.9921490148113</c:v>
                </c:pt>
                <c:pt idx="159">
                  <c:v>28.8091336479355</c:v>
                </c:pt>
                <c:pt idx="160">
                  <c:v>28.6254304580082</c:v>
                </c:pt>
                <c:pt idx="161">
                  <c:v>28.4410661827645</c:v>
                </c:pt>
                <c:pt idx="162">
                  <c:v>28.2560667771815</c:v>
                </c:pt>
                <c:pt idx="163">
                  <c:v>28.0704574221001</c:v>
                </c:pt>
                <c:pt idx="164">
                  <c:v>27.8842625343652</c:v>
                </c:pt>
                <c:pt idx="165">
                  <c:v>27.6975057783262</c:v>
                </c:pt>
                <c:pt idx="166">
                  <c:v>27.5102100785524</c:v>
                </c:pt>
                <c:pt idx="167">
                  <c:v>27.3223976336195</c:v>
                </c:pt>
                <c:pt idx="168">
                  <c:v>27.1340899308401</c:v>
                </c:pt>
                <c:pt idx="169">
                  <c:v>26.9453077618117</c:v>
                </c:pt>
                <c:pt idx="170">
                  <c:v>26.7560712386711</c:v>
                </c:pt>
                <c:pt idx="171">
                  <c:v>26.5663998109457</c:v>
                </c:pt>
                <c:pt idx="172">
                  <c:v>26.3763122829065</c:v>
                </c:pt>
                <c:pt idx="173">
                  <c:v>26.1858268313307</c:v>
                </c:pt>
                <c:pt idx="174">
                  <c:v>25.9949610235905</c:v>
                </c:pt>
                <c:pt idx="175">
                  <c:v>25.8037318359945</c:v>
                </c:pt>
                <c:pt idx="176">
                  <c:v>25.61215567231</c:v>
                </c:pt>
                <c:pt idx="177">
                  <c:v>25.4202483824063</c:v>
                </c:pt>
                <c:pt idx="178">
                  <c:v>25.2280252809615</c:v>
                </c:pt>
                <c:pt idx="179">
                  <c:v>25.0355011661825</c:v>
                </c:pt>
                <c:pt idx="180">
                  <c:v>24.8426903384943</c:v>
                </c:pt>
                <c:pt idx="181">
                  <c:v>24.6496066191584</c:v>
                </c:pt>
                <c:pt idx="182">
                  <c:v>24.4562633687856</c:v>
                </c:pt>
                <c:pt idx="183">
                  <c:v>24.2626735057139</c:v>
                </c:pt>
                <c:pt idx="184">
                  <c:v>24.0688495242236</c:v>
                </c:pt>
                <c:pt idx="185">
                  <c:v>23.8748035125704</c:v>
                </c:pt>
                <c:pt idx="186">
                  <c:v>23.6805471708156</c:v>
                </c:pt>
                <c:pt idx="187">
                  <c:v>23.4860918284402</c:v>
                </c:pt>
                <c:pt idx="188">
                  <c:v>23.2914484617296</c:v>
                </c:pt>
                <c:pt idx="189">
                  <c:v>23.0966277109208</c:v>
                </c:pt>
                <c:pt idx="190">
                  <c:v>22.9016398971052</c:v>
                </c:pt>
                <c:pt idx="191">
                  <c:v>22.7064950388829</c:v>
                </c:pt>
                <c:pt idx="192">
                  <c:v>22.5112028687664</c:v>
                </c:pt>
                <c:pt idx="193">
                  <c:v>22.3157728493339</c:v>
                </c:pt>
                <c:pt idx="194">
                  <c:v>22.1202141891336</c:v>
                </c:pt>
                <c:pt idx="195">
                  <c:v>21.9245358583427</c:v>
                </c:pt>
                <c:pt idx="196">
                  <c:v>21.7287466041858</c:v>
                </c:pt>
                <c:pt idx="197">
                  <c:v>21.532854966117</c:v>
                </c:pt>
                <c:pt idx="198">
                  <c:v>21.3368692907764</c:v>
                </c:pt>
                <c:pt idx="199">
                  <c:v>21.1407977467244</c:v>
                </c:pt>
                <c:pt idx="200">
                  <c:v>20.9446483389667</c:v>
                </c:pt>
                <c:pt idx="201">
                  <c:v>20.7484289232766</c:v>
                </c:pt>
                <c:pt idx="202">
                  <c:v>20.5521472203265</c:v>
                </c:pt>
                <c:pt idx="203">
                  <c:v>20.3558108296386</c:v>
                </c:pt>
                <c:pt idx="204">
                  <c:v>20.1594272433649</c:v>
                </c:pt>
                <c:pt idx="205">
                  <c:v>19.9630038599094</c:v>
                </c:pt>
                <c:pt idx="206">
                  <c:v>19.7665479974031</c:v>
                </c:pt>
                <c:pt idx="207">
                  <c:v>19.5700669070426</c:v>
                </c:pt>
                <c:pt idx="208">
                  <c:v>19.3735677863045</c:v>
                </c:pt>
                <c:pt idx="209">
                  <c:v>19.1770577920478</c:v>
                </c:pt>
                <c:pt idx="210">
                  <c:v>18.9805440535133</c:v>
                </c:pt>
                <c:pt idx="211">
                  <c:v>18.784033685233</c:v>
                </c:pt>
                <c:pt idx="212">
                  <c:v>18.5875337998597</c:v>
                </c:pt>
                <c:pt idx="213">
                  <c:v>18.3910515209249</c:v>
                </c:pt>
                <c:pt idx="214">
                  <c:v>18.1945939955384</c:v>
                </c:pt>
                <c:pt idx="215">
                  <c:v>17.9981684070352</c:v>
                </c:pt>
                <c:pt idx="216">
                  <c:v>17.801781987579</c:v>
                </c:pt>
                <c:pt idx="217">
                  <c:v>17.6054420307309</c:v>
                </c:pt>
                <c:pt idx="218">
                  <c:v>17.4091559039886</c:v>
                </c:pt>
                <c:pt idx="219">
                  <c:v>17.212931061302</c:v>
                </c:pt>
                <c:pt idx="220">
                  <c:v>17.0167750555707</c:v>
                </c:pt>
                <c:pt idx="221">
                  <c:v>16.8206955511241</c:v>
                </c:pt>
                <c:pt idx="222">
                  <c:v>16.6247003361904</c:v>
                </c:pt>
                <c:pt idx="223">
                  <c:v>16.4287973353503</c:v>
                </c:pt>
                <c:pt idx="224">
                  <c:v>16.2329946219784</c:v>
                </c:pt>
                <c:pt idx="225">
                  <c:v>16.0373004306668</c:v>
                </c:pt>
                <c:pt idx="226">
                  <c:v>15.8417231696291</c:v>
                </c:pt>
                <c:pt idx="227">
                  <c:v>15.6462714330761</c:v>
                </c:pt>
                <c:pt idx="228">
                  <c:v>15.4509540135559</c:v>
                </c:pt>
                <c:pt idx="229">
                  <c:v>15.2557799142487</c:v>
                </c:pt>
                <c:pt idx="230">
                  <c:v>15.0607583612023</c:v>
                </c:pt>
                <c:pt idx="231">
                  <c:v>14.8658988154929</c:v>
                </c:pt>
                <c:pt idx="232">
                  <c:v>14.6712109852948</c:v>
                </c:pt>
                <c:pt idx="233">
                  <c:v>14.4767048378359</c:v>
                </c:pt>
                <c:pt idx="234">
                  <c:v>14.2823906112189</c:v>
                </c:pt>
                <c:pt idx="235">
                  <c:v>14.0882788260787</c:v>
                </c:pt>
                <c:pt idx="236">
                  <c:v>13.8943802970483</c:v>
                </c:pt>
                <c:pt idx="237">
                  <c:v>13.7007061439998</c:v>
                </c:pt>
                <c:pt idx="238">
                  <c:v>13.5072678030257</c:v>
                </c:pt>
                <c:pt idx="239">
                  <c:v>13.3140770371188</c:v>
                </c:pt>
                <c:pt idx="240">
                  <c:v>13.1211459465115</c:v>
                </c:pt>
                <c:pt idx="241">
                  <c:v>12.9284869786252</c:v>
                </c:pt>
                <c:pt idx="242">
                  <c:v>12.7361129375824</c:v>
                </c:pt>
                <c:pt idx="243">
                  <c:v>12.5440369932282</c:v>
                </c:pt>
                <c:pt idx="244">
                  <c:v>12.3522726896036</c:v>
                </c:pt>
                <c:pt idx="245">
                  <c:v>12.1608339528151</c:v>
                </c:pt>
                <c:pt idx="246">
                  <c:v>11.9697350982333</c:v>
                </c:pt>
                <c:pt idx="247">
                  <c:v>11.7789908369604</c:v>
                </c:pt>
                <c:pt idx="248">
                  <c:v>11.5886162814956</c:v>
                </c:pt>
                <c:pt idx="249">
                  <c:v>11.3986269505313</c:v>
                </c:pt>
                <c:pt idx="250">
                  <c:v>11.2090387728081</c:v>
                </c:pt>
                <c:pt idx="251">
                  <c:v>11.0198680899552</c:v>
                </c:pt>
                <c:pt idx="252">
                  <c:v>10.8311316582479</c:v>
                </c:pt>
                <c:pt idx="253">
                  <c:v>10.6428466492036</c:v>
                </c:pt>
                <c:pt idx="254">
                  <c:v>10.4550306489501</c:v>
                </c:pt>
                <c:pt idx="255">
                  <c:v>10.2677016562946</c:v>
                </c:pt>
                <c:pt idx="256">
                  <c:v>10.0808780794274</c:v>
                </c:pt>
                <c:pt idx="257">
                  <c:v>9.89457873119663</c:v>
                </c:pt>
                <c:pt idx="258">
                  <c:v>9.70882282289917</c:v>
                </c:pt>
                <c:pt idx="259">
                  <c:v>9.52362995653411</c:v>
                </c:pt>
                <c:pt idx="260">
                  <c:v>9.33902011547815</c:v>
                </c:pt>
                <c:pt idx="261">
                  <c:v>9.1550136535469</c:v>
                </c:pt>
                <c:pt idx="262">
                  <c:v>8.97163128242114</c:v>
                </c:pt>
                <c:pt idx="263">
                  <c:v>8.78889405742545</c:v>
                </c:pt>
                <c:pt idx="264">
                  <c:v>8.60682336166225</c:v>
                </c:pt>
                <c:pt idx="265">
                  <c:v>8.42544088852034</c:v>
                </c:pt>
                <c:pt idx="266">
                  <c:v>8.24476862259083</c:v>
                </c:pt>
                <c:pt idx="267">
                  <c:v>8.0648288190441</c:v>
                </c:pt>
                <c:pt idx="268">
                  <c:v>7.88564398153961</c:v>
                </c:pt>
                <c:pt idx="269">
                  <c:v>7.70723683875943</c:v>
                </c:pt>
                <c:pt idx="270">
                  <c:v>7.5296303196802</c:v>
                </c:pt>
                <c:pt idx="271">
                  <c:v>7.35284752771706</c:v>
                </c:pt>
                <c:pt idx="272">
                  <c:v>7.17691171389708</c:v>
                </c:pt>
                <c:pt idx="273">
                  <c:v>7.00184624923976</c:v>
                </c:pt>
                <c:pt idx="274">
                  <c:v>6.8276745965455</c:v>
                </c:pt>
                <c:pt idx="275">
                  <c:v>6.65442028181155</c:v>
                </c:pt>
                <c:pt idx="276">
                  <c:v>6.48210686551358</c:v>
                </c:pt>
                <c:pt idx="277">
                  <c:v>6.31075791400953</c:v>
                </c:pt>
                <c:pt idx="278">
                  <c:v>6.14039697133411</c:v>
                </c:pt>
                <c:pt idx="279">
                  <c:v>5.9710475316642</c:v>
                </c:pt>
                <c:pt idx="280">
                  <c:v>5.80273301274382</c:v>
                </c:pt>
                <c:pt idx="281">
                  <c:v>5.63547673055579</c:v>
                </c:pt>
                <c:pt idx="282">
                  <c:v>5.46930187553001</c:v>
                </c:pt>
                <c:pt idx="283">
                  <c:v>5.30423149056585</c:v>
                </c:pt>
                <c:pt idx="284">
                  <c:v>5.1402884511359</c:v>
                </c:pt>
                <c:pt idx="285">
                  <c:v>4.97749544771597</c:v>
                </c:pt>
                <c:pt idx="286">
                  <c:v>4.81587497076176</c:v>
                </c:pt>
                <c:pt idx="287">
                  <c:v>4.65544929841774</c:v>
                </c:pt>
                <c:pt idx="288">
                  <c:v>4.49624048710728</c:v>
                </c:pt>
                <c:pt idx="289">
                  <c:v>4.33827036510456</c:v>
                </c:pt>
                <c:pt idx="290">
                  <c:v>4.18156052913943</c:v>
                </c:pt>
                <c:pt idx="291">
                  <c:v>4.02613234402976</c:v>
                </c:pt>
                <c:pt idx="292">
                  <c:v>3.8720069452739</c:v>
                </c:pt>
                <c:pt idx="293">
                  <c:v>3.7192052444722</c:v>
                </c:pt>
                <c:pt idx="294">
                  <c:v>3.56774793738001</c:v>
                </c:pt>
                <c:pt idx="295">
                  <c:v>3.41765551432663</c:v>
                </c:pt>
                <c:pt idx="296">
                  <c:v>3.26894827266714</c:v>
                </c:pt>
                <c:pt idx="297">
                  <c:v>3.12164633086996</c:v>
                </c:pt>
                <c:pt idx="298">
                  <c:v>2.97576964378</c:v>
                </c:pt>
                <c:pt idx="299">
                  <c:v>2.83133801854275</c:v>
                </c:pt>
                <c:pt idx="300">
                  <c:v>2.68837113062389</c:v>
                </c:pt>
                <c:pt idx="301">
                  <c:v>2.54688853931854</c:v>
                </c:pt>
                <c:pt idx="302">
                  <c:v>2.40690970211605</c:v>
                </c:pt>
                <c:pt idx="303">
                  <c:v>2.26845398726109</c:v>
                </c:pt>
                <c:pt idx="304">
                  <c:v>2.13154068385234</c:v>
                </c:pt>
                <c:pt idx="305">
                  <c:v>1.99618900881938</c:v>
                </c:pt>
                <c:pt idx="306">
                  <c:v>1.86241811014359</c:v>
                </c:pt>
                <c:pt idx="307">
                  <c:v>1.73024706571995</c:v>
                </c:pt>
                <c:pt idx="308">
                  <c:v>1.59969487730555</c:v>
                </c:pt>
                <c:pt idx="309">
                  <c:v>1.47078045906363</c:v>
                </c:pt>
                <c:pt idx="310">
                  <c:v>1.34352262028371</c:v>
                </c:pt>
                <c:pt idx="311">
                  <c:v>1.21794004194765</c:v>
                </c:pt>
                <c:pt idx="312">
                  <c:v>1.09405124690279</c:v>
                </c:pt>
                <c:pt idx="313">
                  <c:v>0.97187456351497</c:v>
                </c:pt>
                <c:pt idx="314">
                  <c:v>0.851428082776681</c:v>
                </c:pt>
                <c:pt idx="315">
                  <c:v>0.732729608969003</c:v>
                </c:pt>
                <c:pt idx="316">
                  <c:v>0.615796604085669</c:v>
                </c:pt>
                <c:pt idx="317">
                  <c:v>0.500646126350089</c:v>
                </c:pt>
                <c:pt idx="318">
                  <c:v>0.387294763266735</c:v>
                </c:pt>
                <c:pt idx="319">
                  <c:v>0.275758559756712</c:v>
                </c:pt>
                <c:pt idx="320">
                  <c:v>0.166052942028186</c:v>
                </c:pt>
                <c:pt idx="321">
                  <c:v>0.0581926379245821</c:v>
                </c:pt>
                <c:pt idx="322">
                  <c:v>-0.0478084054302829</c:v>
                </c:pt>
                <c:pt idx="323">
                  <c:v>-0.151937105802246</c:v>
                </c:pt>
                <c:pt idx="324">
                  <c:v>-0.254181330895606</c:v>
                </c:pt>
                <c:pt idx="325">
                  <c:v>-0.354529983307143</c:v>
                </c:pt>
                <c:pt idx="326">
                  <c:v>-0.452973084393754</c:v>
                </c:pt>
                <c:pt idx="327">
                  <c:v>-0.549501856060089</c:v>
                </c:pt>
                <c:pt idx="328">
                  <c:v>-0.644108799486905</c:v>
                </c:pt>
                <c:pt idx="329">
                  <c:v>-0.736787769850133</c:v>
                </c:pt>
                <c:pt idx="330">
                  <c:v>-0.827534046128973</c:v>
                </c:pt>
                <c:pt idx="331">
                  <c:v>-0.916344395159806</c:v>
                </c:pt>
                <c:pt idx="332">
                  <c:v>-1.00321712916659</c:v>
                </c:pt>
                <c:pt idx="333">
                  <c:v>-1.08815215608249</c:v>
                </c:pt>
                <c:pt idx="334">
                  <c:v>-1.17115102207207</c:v>
                </c:pt>
                <c:pt idx="335">
                  <c:v>-1.25221694576508</c:v>
                </c:pt>
                <c:pt idx="336">
                  <c:v>-1.33135484381745</c:v>
                </c:pt>
                <c:pt idx="337">
                  <c:v>-1.40857134752987</c:v>
                </c:pt>
                <c:pt idx="338">
                  <c:v>-1.48387481036106</c:v>
                </c:pt>
                <c:pt idx="339">
                  <c:v>-1.55727530628785</c:v>
                </c:pt>
                <c:pt idx="340">
                  <c:v>-1.62878461906878</c:v>
                </c:pt>
                <c:pt idx="341">
                  <c:v>-1.69841622257527</c:v>
                </c:pt>
                <c:pt idx="342">
                  <c:v>-1.76618525244933</c:v>
                </c:pt>
                <c:pt idx="343">
                  <c:v>-1.83210846943792</c:v>
                </c:pt>
                <c:pt idx="344">
                  <c:v>-1.89620421483693</c:v>
                </c:pt>
                <c:pt idx="345">
                  <c:v>-1.95849235854747</c:v>
                </c:pt>
                <c:pt idx="346">
                  <c:v>-2.01899424031182</c:v>
                </c:pt>
                <c:pt idx="347">
                  <c:v>-2.07773260474464</c:v>
                </c:pt>
                <c:pt idx="348">
                  <c:v>-2.13473153081808</c:v>
                </c:pt>
                <c:pt idx="349">
                  <c:v>-2.19001635648673</c:v>
                </c:pt>
                <c:pt idx="350">
                  <c:v>-2.24361359915844</c:v>
                </c:pt>
                <c:pt idx="351">
                  <c:v>-2.29555087272431</c:v>
                </c:pt>
                <c:pt idx="352">
                  <c:v>-2.3458568018623</c:v>
                </c:pt>
                <c:pt idx="353">
                  <c:v>-2.39456093431484</c:v>
                </c:pt>
                <c:pt idx="354">
                  <c:v>-2.44169365182803</c:v>
                </c:pt>
                <c:pt idx="355">
                  <c:v>-2.48728608040855</c:v>
                </c:pt>
                <c:pt idx="356">
                  <c:v>-2.53137000052797</c:v>
                </c:pt>
                <c:pt idx="357">
                  <c:v>-2.57397775786387</c:v>
                </c:pt>
                <c:pt idx="358">
                  <c:v>-2.6151421751266</c:v>
                </c:pt>
                <c:pt idx="359">
                  <c:v>-2.6548964654767</c:v>
                </c:pt>
                <c:pt idx="360">
                  <c:v>-2.69327414799022</c:v>
                </c:pt>
                <c:pt idx="361">
                  <c:v>-2.73030896558001</c:v>
                </c:pt>
                <c:pt idx="362">
                  <c:v>-2.76603480573388</c:v>
                </c:pt>
                <c:pt idx="363">
                  <c:v>-2.80048562437861</c:v>
                </c:pt>
                <c:pt idx="364">
                  <c:v>-2.8336953731329</c:v>
                </c:pt>
                <c:pt idx="365">
                  <c:v>-2.86569793016366</c:v>
                </c:pt>
                <c:pt idx="366">
                  <c:v>-2.89652703481518</c:v>
                </c:pt>
                <c:pt idx="367">
                  <c:v>-2.92621622613787</c:v>
                </c:pt>
                <c:pt idx="368">
                  <c:v>-2.95479878540344</c:v>
                </c:pt>
                <c:pt idx="369">
                  <c:v>-2.98230768265389</c:v>
                </c:pt>
                <c:pt idx="370">
                  <c:v>-3.0087755272989</c:v>
                </c:pt>
                <c:pt idx="371">
                  <c:v>-3.03423452274497</c:v>
                </c:pt>
                <c:pt idx="372">
                  <c:v>-3.0587164250095</c:v>
                </c:pt>
                <c:pt idx="373">
                  <c:v>-3.08225250524902</c:v>
                </c:pt>
                <c:pt idx="374">
                  <c:v>-3.10487351611034</c:v>
                </c:pt>
                <c:pt idx="375">
                  <c:v>-3.12660966179139</c:v>
                </c:pt>
                <c:pt idx="376">
                  <c:v>-3.14749057168497</c:v>
                </c:pt>
                <c:pt idx="377">
                  <c:v>-3.16754527746465</c:v>
                </c:pt>
                <c:pt idx="378">
                  <c:v>-3.18680219346133</c:v>
                </c:pt>
                <c:pt idx="379">
                  <c:v>-3.20528910017135</c:v>
                </c:pt>
                <c:pt idx="380">
                  <c:v>-3.22303313073005</c:v>
                </c:pt>
                <c:pt idx="381">
                  <c:v>-3.24006076018177</c:v>
                </c:pt>
                <c:pt idx="382">
                  <c:v>-3.25639779737564</c:v>
                </c:pt>
                <c:pt idx="383">
                  <c:v>-3.27206937931411</c:v>
                </c:pt>
                <c:pt idx="384">
                  <c:v>-3.28709996778434</c:v>
                </c:pt>
                <c:pt idx="385">
                  <c:v>-3.30151334810374</c:v>
                </c:pt>
                <c:pt idx="386">
                  <c:v>-3.3153326298145</c:v>
                </c:pt>
                <c:pt idx="387">
                  <c:v>-3.32858024916635</c:v>
                </c:pt>
                <c:pt idx="388">
                  <c:v>-3.34127797323199</c:v>
                </c:pt>
                <c:pt idx="389">
                  <c:v>-3.35344690550458</c:v>
                </c:pt>
                <c:pt idx="390">
                  <c:v>-3.36510749283447</c:v>
                </c:pt>
                <c:pt idx="391">
                  <c:v>-3.37627953356665</c:v>
                </c:pt>
                <c:pt idx="392">
                  <c:v>-3.38698218674922</c:v>
                </c:pt>
                <c:pt idx="393">
                  <c:v>-3.39723398228927</c:v>
                </c:pt>
                <c:pt idx="394">
                  <c:v>-3.4070528319394</c:v>
                </c:pt>
                <c:pt idx="395">
                  <c:v>-3.41645604100604</c:v>
                </c:pt>
                <c:pt idx="396">
                  <c:v>-3.42546032067711</c:v>
                </c:pt>
                <c:pt idx="397">
                  <c:v>-3.43408180087323</c:v>
                </c:pt>
                <c:pt idx="398">
                  <c:v>-3.44233604353498</c:v>
                </c:pt>
                <c:pt idx="399">
                  <c:v>-3.45023805626348</c:v>
                </c:pt>
                <c:pt idx="400">
                  <c:v>-3.45780230623861</c:v>
                </c:pt>
                <c:pt idx="401">
                  <c:v>-3.46504273434687</c:v>
                </c:pt>
                <c:pt idx="402">
                  <c:v>-3.47197276945332</c:v>
                </c:pt>
                <c:pt idx="403">
                  <c:v>-3.47860534276183</c:v>
                </c:pt>
                <c:pt idx="404">
                  <c:v>-3.48495290220992</c:v>
                </c:pt>
                <c:pt idx="405">
                  <c:v>-3.4910274268507</c:v>
                </c:pt>
                <c:pt idx="406">
                  <c:v>-3.49684044118057</c:v>
                </c:pt>
                <c:pt idx="407">
                  <c:v>-3.5024030293726</c:v>
                </c:pt>
                <c:pt idx="408">
                  <c:v>-3.50772584938295</c:v>
                </c:pt>
                <c:pt idx="409">
                  <c:v>-3.51281914690044</c:v>
                </c:pt>
                <c:pt idx="410">
                  <c:v>-3.51769276911123</c:v>
                </c:pt>
                <c:pt idx="411">
                  <c:v>-3.52235617825773</c:v>
                </c:pt>
                <c:pt idx="412">
                  <c:v>-3.52681846497073</c:v>
                </c:pt>
                <c:pt idx="413">
                  <c:v>-3.5310883613574</c:v>
                </c:pt>
                <c:pt idx="414">
                  <c:v>-3.53517425383189</c:v>
                </c:pt>
                <c:pt idx="415">
                  <c:v>-3.53908419567598</c:v>
                </c:pt>
                <c:pt idx="416">
                  <c:v>-3.54282591932051</c:v>
                </c:pt>
                <c:pt idx="417">
                  <c:v>-3.54640684834037</c:v>
                </c:pt>
                <c:pt idx="418">
                  <c:v>-3.54983410915567</c:v>
                </c:pt>
                <c:pt idx="419">
                  <c:v>-3.5531145424379</c:v>
                </c:pt>
                <c:pt idx="420">
                  <c:v>-3.55625471421611</c:v>
                </c:pt>
                <c:pt idx="421">
                  <c:v>-3.55926092668306</c:v>
                </c:pt>
                <c:pt idx="422">
                  <c:v>-3.56213922870204</c:v>
                </c:pt>
                <c:pt idx="423">
                  <c:v>-3.56489542601403</c:v>
                </c:pt>
                <c:pt idx="424">
                  <c:v>-3.5675350911495</c:v>
                </c:pt>
                <c:pt idx="425">
                  <c:v>-3.57006357304588</c:v>
                </c:pt>
                <c:pt idx="426">
                  <c:v>-3.57248600637677</c:v>
                </c:pt>
                <c:pt idx="427">
                  <c:v>-3.574807320595</c:v>
                </c:pt>
                <c:pt idx="428">
                  <c:v>-3.57703224869739</c:v>
                </c:pt>
                <c:pt idx="429">
                  <c:v>-3.57916533571446</c:v>
                </c:pt>
                <c:pt idx="430">
                  <c:v>-3.58121094693348</c:v>
                </c:pt>
                <c:pt idx="431">
                  <c:v>-3.58317327585906</c:v>
                </c:pt>
                <c:pt idx="432">
                  <c:v>-3.58505635192095</c:v>
                </c:pt>
                <c:pt idx="433">
                  <c:v>-3.58686404793259</c:v>
                </c:pt>
                <c:pt idx="434">
                  <c:v>-3.5886000873116</c:v>
                </c:pt>
                <c:pt idx="435">
                  <c:v>-3.59026805106726</c:v>
                </c:pt>
                <c:pt idx="436">
                  <c:v>-3.59187138456243</c:v>
                </c:pt>
                <c:pt idx="437">
                  <c:v>-3.59341340406002</c:v>
                </c:pt>
                <c:pt idx="438">
                  <c:v>-3.59489730305943</c:v>
                </c:pt>
                <c:pt idx="439">
                  <c:v>-3.59632615843239</c:v>
                </c:pt>
                <c:pt idx="440">
                  <c:v>-3.59770293636478</c:v>
                </c:pt>
                <c:pt idx="441">
                  <c:v>-3.59903049811402</c:v>
                </c:pt>
                <c:pt idx="442">
                  <c:v>-3.60031160558907</c:v>
                </c:pt>
                <c:pt idx="443">
                  <c:v>-3.60154892675996</c:v>
                </c:pt>
                <c:pt idx="444">
                  <c:v>-3.60274504090733</c:v>
                </c:pt>
                <c:pt idx="445">
                  <c:v>-3.60390244371652</c:v>
                </c:pt>
                <c:pt idx="446">
                  <c:v>-3.60502355222741</c:v>
                </c:pt>
                <c:pt idx="447">
                  <c:v>-3.60611070964435</c:v>
                </c:pt>
                <c:pt idx="448">
                  <c:v>-3.60716619001665</c:v>
                </c:pt>
                <c:pt idx="449">
                  <c:v>-3.60819220279518</c:v>
                </c:pt>
                <c:pt idx="450">
                  <c:v>-3.60919089727416</c:v>
                </c:pt>
                <c:pt idx="451">
                  <c:v>-3.6101643669238</c:v>
                </c:pt>
                <c:pt idx="452">
                  <c:v>-3.61111465362289</c:v>
                </c:pt>
                <c:pt idx="453">
                  <c:v>-3.61204375179745</c:v>
                </c:pt>
                <c:pt idx="454">
                  <c:v>-3.61295361247323</c:v>
                </c:pt>
                <c:pt idx="455">
                  <c:v>-3.6138461472487</c:v>
                </c:pt>
                <c:pt idx="456">
                  <c:v>-3.61472323219586</c:v>
                </c:pt>
                <c:pt idx="457">
                  <c:v>-3.61558671169629</c:v>
                </c:pt>
                <c:pt idx="458">
                  <c:v>-3.61643840221854</c:v>
                </c:pt>
                <c:pt idx="459">
                  <c:v>-3.61728009604406</c:v>
                </c:pt>
                <c:pt idx="460">
                  <c:v>-3.61811356494945</c:v>
                </c:pt>
                <c:pt idx="461">
                  <c:v>-3.6189405638497</c:v>
                </c:pt>
                <c:pt idx="462">
                  <c:v>-3.61976283441232</c:v>
                </c:pt>
                <c:pt idx="463">
                  <c:v>-3.62058210864541</c:v>
                </c:pt>
                <c:pt idx="464">
                  <c:v>-3.62140011246983</c:v>
                </c:pt>
                <c:pt idx="465">
                  <c:v>-3.62221856927995</c:v>
                </c:pt>
                <c:pt idx="466">
                  <c:v>-3.62303920350051</c:v>
                </c:pt>
                <c:pt idx="467">
                  <c:v>-3.62386374414646</c:v>
                </c:pt>
                <c:pt idx="468">
                  <c:v>-3.62469392839222</c:v>
                </c:pt>
                <c:pt idx="469">
                  <c:v>-3.62553150515718</c:v>
                </c:pt>
                <c:pt idx="470">
                  <c:v>-3.62637823871393</c:v>
                </c:pt>
                <c:pt idx="471">
                  <c:v>-3.62723591232684</c:v>
                </c:pt>
                <c:pt idx="472">
                  <c:v>-3.62810633192692</c:v>
                </c:pt>
                <c:pt idx="473">
                  <c:v>-3.62899132983057</c:v>
                </c:pt>
                <c:pt idx="474">
                  <c:v>-3.62989276850851</c:v>
                </c:pt>
                <c:pt idx="475">
                  <c:v>-3.63081254441262</c:v>
                </c:pt>
                <c:pt idx="476">
                  <c:v>-3.63175259186715</c:v>
                </c:pt>
                <c:pt idx="477">
                  <c:v>-3.6327148870319</c:v>
                </c:pt>
                <c:pt idx="478">
                  <c:v>-3.63370145194426</c:v>
                </c:pt>
                <c:pt idx="479">
                  <c:v>-3.6347143586482</c:v>
                </c:pt>
                <c:pt idx="480">
                  <c:v>-3.63575573341601</c:v>
                </c:pt>
                <c:pt idx="481">
                  <c:v>-3.63682776107255</c:v>
                </c:pt>
                <c:pt idx="482">
                  <c:v>-3.63793268942771</c:v>
                </c:pt>
                <c:pt idx="483">
                  <c:v>-3.63907283382594</c:v>
                </c:pt>
                <c:pt idx="484">
                  <c:v>-3.64025058182019</c:v>
                </c:pt>
                <c:pt idx="485">
                  <c:v>-3.64146839797855</c:v>
                </c:pt>
                <c:pt idx="486">
                  <c:v>-3.64272882883139</c:v>
                </c:pt>
                <c:pt idx="487">
                  <c:v>-3.64403450796733</c:v>
                </c:pt>
                <c:pt idx="488">
                  <c:v>-3.64538816128665</c:v>
                </c:pt>
                <c:pt idx="489">
                  <c:v>-3.64679261241972</c:v>
                </c:pt>
                <c:pt idx="490">
                  <c:v>-3.64825078832001</c:v>
                </c:pt>
                <c:pt idx="491">
                  <c:v>-3.64976572503991</c:v>
                </c:pt>
                <c:pt idx="492">
                  <c:v>-3.65134057369756</c:v>
                </c:pt>
                <c:pt idx="493">
                  <c:v>-3.65297860664467</c:v>
                </c:pt>
                <c:pt idx="494">
                  <c:v>-3.65468322384317</c:v>
                </c:pt>
                <c:pt idx="495">
                  <c:v>-3.65645795946036</c:v>
                </c:pt>
                <c:pt idx="496">
                  <c:v>-3.6583064886914</c:v>
                </c:pt>
                <c:pt idx="497">
                  <c:v>-3.66023263481798</c:v>
                </c:pt>
                <c:pt idx="498">
                  <c:v>-3.66224037651302</c:v>
                </c:pt>
                <c:pt idx="499">
                  <c:v>-3.6643338553994</c:v>
                </c:pt>
                <c:pt idx="500">
                  <c:v>-3.66651738387285</c:v>
                </c:pt>
                <c:pt idx="501">
                  <c:v>-3.66879545319751</c:v>
                </c:pt>
                <c:pt idx="502">
                  <c:v>-3.6711727418826</c:v>
                </c:pt>
                <c:pt idx="503">
                  <c:v>-3.67365412435037</c:v>
                </c:pt>
                <c:pt idx="504">
                  <c:v>-3.67624467990236</c:v>
                </c:pt>
                <c:pt idx="505">
                  <c:v>-3.67894970199321</c:v>
                </c:pt>
                <c:pt idx="506">
                  <c:v>-3.68177470781987</c:v>
                </c:pt>
                <c:pt idx="507">
                  <c:v>-3.68472544823423</c:v>
                </c:pt>
                <c:pt idx="508">
                  <c:v>-3.68780791798598</c:v>
                </c:pt>
                <c:pt idx="509">
                  <c:v>-3.69102836630264</c:v>
                </c:pt>
                <c:pt idx="510">
                  <c:v>-3.69439330781356</c:v>
                </c:pt>
                <c:pt idx="511">
                  <c:v>-3.69790953382275</c:v>
                </c:pt>
                <c:pt idx="512">
                  <c:v>-3.70158412393621</c:v>
                </c:pt>
                <c:pt idx="513">
                  <c:v>-3.7054244580464</c:v>
                </c:pt>
                <c:pt idx="514">
                  <c:v>-3.70943822867858</c:v>
                </c:pt>
                <c:pt idx="515">
                  <c:v>-3.71363345369919</c:v>
                </c:pt>
                <c:pt idx="516">
                  <c:v>-3.71801848938821</c:v>
                </c:pt>
                <c:pt idx="517">
                  <c:v>-3.72260204387448</c:v>
                </c:pt>
                <c:pt idx="518">
                  <c:v>-3.7273931909301</c:v>
                </c:pt>
                <c:pt idx="519">
                  <c:v>-3.73240138412218</c:v>
                </c:pt>
                <c:pt idx="520">
                  <c:v>-3.73763647131516</c:v>
                </c:pt>
                <c:pt idx="521">
                  <c:v>-3.74310870951349</c:v>
                </c:pt>
                <c:pt idx="522">
                  <c:v>-3.74882878003802</c:v>
                </c:pt>
                <c:pt idx="523">
                  <c:v>-3.75480780401936</c:v>
                </c:pt>
                <c:pt idx="524">
                  <c:v>-3.7610573581952</c:v>
                </c:pt>
                <c:pt idx="525">
                  <c:v>-3.76758949099103</c:v>
                </c:pt>
                <c:pt idx="526">
                  <c:v>-3.77441673886213</c:v>
                </c:pt>
                <c:pt idx="527">
                  <c:v>-3.78155214287229</c:v>
                </c:pt>
                <c:pt idx="528">
                  <c:v>-3.78900926547864</c:v>
                </c:pt>
                <c:pt idx="529">
                  <c:v>-3.7968022074875</c:v>
                </c:pt>
                <c:pt idx="530">
                  <c:v>-3.80494562514588</c:v>
                </c:pt>
                <c:pt idx="531">
                  <c:v>-3.81345474732207</c:v>
                </c:pt>
                <c:pt idx="532">
                  <c:v>-3.82234539272931</c:v>
                </c:pt>
                <c:pt idx="533">
                  <c:v>-3.83163398713702</c:v>
                </c:pt>
                <c:pt idx="534">
                  <c:v>-3.8413375805107</c:v>
                </c:pt>
                <c:pt idx="535">
                  <c:v>-3.85147386401427</c:v>
                </c:pt>
                <c:pt idx="536">
                  <c:v>-3.86206118680177</c:v>
                </c:pt>
                <c:pt idx="537">
                  <c:v>-3.87311857252002</c:v>
                </c:pt>
                <c:pt idx="538">
                  <c:v>-3.88466573543502</c:v>
                </c:pt>
                <c:pt idx="539">
                  <c:v>-3.8967230960884</c:v>
                </c:pt>
                <c:pt idx="540">
                  <c:v>-3.90931179638137</c:v>
                </c:pt>
                <c:pt idx="541">
                  <c:v>-3.92245371397778</c:v>
                </c:pt>
              </c:numCache>
            </c:numRef>
          </c:yVal>
          <c:smooth val="1"/>
        </c:ser>
        <c:dLbls>
          <c:showLegendKey val="0"/>
          <c:showVal val="0"/>
          <c:showCatName val="0"/>
          <c:showSerName val="0"/>
          <c:showPercent val="0"/>
          <c:showBubbleSize val="0"/>
        </c:dLbls>
        <c:axId val="178188288"/>
        <c:axId val="178190208"/>
      </c:scatterChart>
      <c:scatterChart>
        <c:scatterStyle val="smooth"/>
        <c:varyColors val="0"/>
        <c:ser>
          <c:idx val="1"/>
          <c:order val="1"/>
          <c:tx>
            <c:strRef>
              <c:f>"Phase (deg)"</c:f>
              <c:strCache>
                <c:ptCount val="1"/>
                <c:pt idx="0">
                  <c:v>Phase (deg)</c:v>
                </c:pt>
              </c:strCache>
            </c:strRef>
          </c:tx>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Loop_Modeling!$AE$19:$AE$560</c:f>
              <c:numCache>
                <c:formatCode>General</c:formatCode>
                <c:ptCount val="542"/>
                <c:pt idx="0">
                  <c:v>-4.92203071574943</c:v>
                </c:pt>
                <c:pt idx="1">
                  <c:v>-5.03610250289863</c:v>
                </c:pt>
                <c:pt idx="2">
                  <c:v>-5.15279035574542</c:v>
                </c:pt>
                <c:pt idx="3">
                  <c:v>-5.27215230915803</c:v>
                </c:pt>
                <c:pt idx="4">
                  <c:v>-5.39424754615253</c:v>
                </c:pt>
                <c:pt idx="5">
                  <c:v>-5.51913641053156</c:v>
                </c:pt>
                <c:pt idx="6">
                  <c:v>-5.64688041886351</c:v>
                </c:pt>
                <c:pt idx="7">
                  <c:v>-5.77754227172534</c:v>
                </c:pt>
                <c:pt idx="8">
                  <c:v>-5.91118586412682</c:v>
                </c:pt>
                <c:pt idx="9">
                  <c:v>-6.04787629502643</c:v>
                </c:pt>
                <c:pt idx="10">
                  <c:v>-6.18767987584715</c:v>
                </c:pt>
                <c:pt idx="11">
                  <c:v>-6.33066413788888</c:v>
                </c:pt>
                <c:pt idx="12">
                  <c:v>-6.47689783853131</c:v>
                </c:pt>
                <c:pt idx="13">
                  <c:v>-6.62645096611356</c:v>
                </c:pt>
                <c:pt idx="14">
                  <c:v>-6.77939474336625</c:v>
                </c:pt>
                <c:pt idx="15">
                  <c:v>-6.93580162926953</c:v>
                </c:pt>
                <c:pt idx="16">
                  <c:v>-7.09574531919641</c:v>
                </c:pt>
                <c:pt idx="17">
                  <c:v>-7.25930074319802</c:v>
                </c:pt>
                <c:pt idx="18">
                  <c:v>-7.42654406227314</c:v>
                </c:pt>
                <c:pt idx="19">
                  <c:v>-7.59755266246049</c:v>
                </c:pt>
                <c:pt idx="20">
                  <c:v>-7.77240514657836</c:v>
                </c:pt>
                <c:pt idx="21">
                  <c:v>-7.95118132342867</c:v>
                </c:pt>
                <c:pt idx="22">
                  <c:v>-8.1339621942728</c:v>
                </c:pt>
                <c:pt idx="23">
                  <c:v>-8.32082993637416</c:v>
                </c:pt>
                <c:pt idx="24">
                  <c:v>-8.51186788339257</c:v>
                </c:pt>
                <c:pt idx="25">
                  <c:v>-8.70716050240744</c:v>
                </c:pt>
                <c:pt idx="26">
                  <c:v>-8.90679336732835</c:v>
                </c:pt>
                <c:pt idx="27">
                  <c:v>-9.11085312844945</c:v>
                </c:pt>
                <c:pt idx="28">
                  <c:v>-9.31942747788514</c:v>
                </c:pt>
                <c:pt idx="29">
                  <c:v>-9.53260511061822</c:v>
                </c:pt>
                <c:pt idx="30">
                  <c:v>-9.75047568087481</c:v>
                </c:pt>
                <c:pt idx="31">
                  <c:v>-9.973129753536</c:v>
                </c:pt>
                <c:pt idx="32">
                  <c:v>-10.2006587502774</c:v>
                </c:pt>
                <c:pt idx="33">
                  <c:v>-10.433154890124</c:v>
                </c:pt>
                <c:pt idx="34">
                  <c:v>-10.6707111240907</c:v>
                </c:pt>
                <c:pt idx="35">
                  <c:v>-10.9134210635741</c:v>
                </c:pt>
                <c:pt idx="36">
                  <c:v>-11.1613789021496</c:v>
                </c:pt>
                <c:pt idx="37">
                  <c:v>-11.4146793304198</c:v>
                </c:pt>
                <c:pt idx="38">
                  <c:v>-11.6734174435514</c:v>
                </c:pt>
                <c:pt idx="39">
                  <c:v>-11.9376886411374</c:v>
                </c:pt>
                <c:pt idx="40">
                  <c:v>-12.2075885190075</c:v>
                </c:pt>
                <c:pt idx="41">
                  <c:v>-12.4832127526159</c:v>
                </c:pt>
                <c:pt idx="42">
                  <c:v>-12.7646569716309</c:v>
                </c:pt>
                <c:pt idx="43">
                  <c:v>-13.0520166253498</c:v>
                </c:pt>
                <c:pt idx="44">
                  <c:v>-13.3453868385726</c:v>
                </c:pt>
                <c:pt idx="45">
                  <c:v>-13.6448622575696</c:v>
                </c:pt>
                <c:pt idx="46">
                  <c:v>-13.9505368857911</c:v>
                </c:pt>
                <c:pt idx="47">
                  <c:v>-14.2625039089807</c:v>
                </c:pt>
                <c:pt idx="48">
                  <c:v>-14.5808555093726</c:v>
                </c:pt>
                <c:pt idx="49">
                  <c:v>-14.9056826686735</c:v>
                </c:pt>
                <c:pt idx="50">
                  <c:v>-15.2370749595592</c:v>
                </c:pt>
                <c:pt idx="51">
                  <c:v>-15.5751203254486</c:v>
                </c:pt>
                <c:pt idx="52">
                  <c:v>-15.9199048483541</c:v>
                </c:pt>
                <c:pt idx="53">
                  <c:v>-16.2715125046546</c:v>
                </c:pt>
                <c:pt idx="54">
                  <c:v>-16.6300249086878</c:v>
                </c:pt>
                <c:pt idx="55">
                  <c:v>-16.9955210441128</c:v>
                </c:pt>
                <c:pt idx="56">
                  <c:v>-17.3680769830683</c:v>
                </c:pt>
                <c:pt idx="57">
                  <c:v>-17.7477655932142</c:v>
                </c:pt>
                <c:pt idx="58">
                  <c:v>-18.1346562328353</c:v>
                </c:pt>
                <c:pt idx="59">
                  <c:v>-18.5288144342693</c:v>
                </c:pt>
                <c:pt idx="60">
                  <c:v>-18.9303015760218</c:v>
                </c:pt>
                <c:pt idx="61">
                  <c:v>-19.3391745440404</c:v>
                </c:pt>
                <c:pt idx="62">
                  <c:v>-19.7554853827282</c:v>
                </c:pt>
                <c:pt idx="63">
                  <c:v>-20.1792809364104</c:v>
                </c:pt>
                <c:pt idx="64">
                  <c:v>-20.6106024820925</c:v>
                </c:pt>
                <c:pt idx="65">
                  <c:v>-21.0494853544921</c:v>
                </c:pt>
                <c:pt idx="66">
                  <c:v>-21.4959585644735</c:v>
                </c:pt>
                <c:pt idx="67">
                  <c:v>-21.9500444121667</c:v>
                </c:pt>
                <c:pt idx="68">
                  <c:v>-22.4117580962142</c:v>
                </c:pt>
                <c:pt idx="69">
                  <c:v>-22.8811073207494</c:v>
                </c:pt>
                <c:pt idx="70">
                  <c:v>-23.3580919018823</c:v>
                </c:pt>
                <c:pt idx="71">
                  <c:v>-23.8427033756297</c:v>
                </c:pt>
                <c:pt idx="72">
                  <c:v>-24.3349246094003</c:v>
                </c:pt>
                <c:pt idx="73">
                  <c:v>-24.8347294193079</c:v>
                </c:pt>
                <c:pt idx="74">
                  <c:v>-25.3420821957436</c:v>
                </c:pt>
                <c:pt idx="75">
                  <c:v>-25.856937539793</c:v>
                </c:pt>
                <c:pt idx="76">
                  <c:v>-26.3792399132244</c:v>
                </c:pt>
                <c:pt idx="77">
                  <c:v>-26.9089233049007</c:v>
                </c:pt>
                <c:pt idx="78">
                  <c:v>-27.4459109165817</c:v>
                </c:pt>
                <c:pt idx="79">
                  <c:v>-27.9901148711711</c:v>
                </c:pt>
                <c:pt idx="80">
                  <c:v>-28.541435946534</c:v>
                </c:pt>
                <c:pt idx="81">
                  <c:v>-29.0997633380483</c:v>
                </c:pt>
                <c:pt idx="82">
                  <c:v>-29.6649744530679</c:v>
                </c:pt>
                <c:pt idx="83">
                  <c:v>-30.2369347404516</c:v>
                </c:pt>
                <c:pt idx="84">
                  <c:v>-30.8154975582558</c:v>
                </c:pt>
                <c:pt idx="85">
                  <c:v>-31.4005040825912</c:v>
                </c:pt>
                <c:pt idx="86">
                  <c:v>-31.9917832605101</c:v>
                </c:pt>
                <c:pt idx="87">
                  <c:v>-32.5891518096089</c:v>
                </c:pt>
                <c:pt idx="88">
                  <c:v>-33.1924142668133</c:v>
                </c:pt>
                <c:pt idx="89">
                  <c:v>-33.8013630885436</c:v>
                </c:pt>
                <c:pt idx="90">
                  <c:v>-34.4157788041537</c:v>
                </c:pt>
                <c:pt idx="91">
                  <c:v>-35.0354302241863</c:v>
                </c:pt>
                <c:pt idx="92">
                  <c:v>-35.6600747045958</c:v>
                </c:pt>
                <c:pt idx="93">
                  <c:v>-36.2894584676675</c:v>
                </c:pt>
                <c:pt idx="94">
                  <c:v>-36.9233169799022</c:v>
                </c:pt>
                <c:pt idx="95">
                  <c:v>-37.5613753866463</c:v>
                </c:pt>
                <c:pt idx="96">
                  <c:v>-38.2033490027455</c:v>
                </c:pt>
                <c:pt idx="97">
                  <c:v>-38.8489438579691</c:v>
                </c:pt>
                <c:pt idx="98">
                  <c:v>-39.4978572954264</c:v>
                </c:pt>
                <c:pt idx="99">
                  <c:v>-40.1497786206569</c:v>
                </c:pt>
                <c:pt idx="100">
                  <c:v>-40.8043897985573</c:v>
                </c:pt>
                <c:pt idx="101">
                  <c:v>-41.4613661947939</c:v>
                </c:pt>
                <c:pt idx="102">
                  <c:v>-42.1203773578627</c:v>
                </c:pt>
                <c:pt idx="103">
                  <c:v>-42.7810878375118</c:v>
                </c:pt>
                <c:pt idx="104">
                  <c:v>-43.4431580348212</c:v>
                </c:pt>
                <c:pt idx="105">
                  <c:v>-44.1062450788751</c:v>
                </c:pt>
                <c:pt idx="106">
                  <c:v>-44.7700037246483</c:v>
                </c:pt>
                <c:pt idx="107">
                  <c:v>-45.43408726648</c:v>
                </c:pt>
                <c:pt idx="108">
                  <c:v>-46.0981484613244</c:v>
                </c:pt>
                <c:pt idx="109">
                  <c:v>-46.761840455845</c:v>
                </c:pt>
                <c:pt idx="110">
                  <c:v>-47.4248177113846</c:v>
                </c:pt>
                <c:pt idx="111">
                  <c:v>-48.0867369208546</c:v>
                </c:pt>
                <c:pt idx="112">
                  <c:v>-48.747257911698</c:v>
                </c:pt>
                <c:pt idx="113">
                  <c:v>-49.4060445292414</c:v>
                </c:pt>
                <c:pt idx="114">
                  <c:v>-50.0627654949748</c:v>
                </c:pt>
                <c:pt idx="115">
                  <c:v>-50.7170952346126</c:v>
                </c:pt>
                <c:pt idx="116">
                  <c:v>-51.3687146711194</c:v>
                </c:pt>
                <c:pt idx="117">
                  <c:v>-52.0173119782955</c:v>
                </c:pt>
                <c:pt idx="118">
                  <c:v>-52.6625832909576</c:v>
                </c:pt>
                <c:pt idx="119">
                  <c:v>-53.3042333682263</c:v>
                </c:pt>
                <c:pt idx="120">
                  <c:v>-53.9419762069364</c:v>
                </c:pt>
                <c:pt idx="121">
                  <c:v>-54.5755356027123</c:v>
                </c:pt>
                <c:pt idx="122">
                  <c:v>-55.2046456567722</c:v>
                </c:pt>
                <c:pt idx="123">
                  <c:v>-55.8290512270718</c:v>
                </c:pt>
                <c:pt idx="124">
                  <c:v>-56.448508322914</c:v>
                </c:pt>
                <c:pt idx="125">
                  <c:v>-57.0627844426716</c:v>
                </c:pt>
                <c:pt idx="126">
                  <c:v>-57.6716588547545</c:v>
                </c:pt>
                <c:pt idx="127">
                  <c:v>-58.2749228224332</c:v>
                </c:pt>
                <c:pt idx="128">
                  <c:v>-58.8723797735519</c:v>
                </c:pt>
                <c:pt idx="129">
                  <c:v>-59.4638454165707</c:v>
                </c:pt>
                <c:pt idx="130">
                  <c:v>-60.0491478047382</c:v>
                </c:pt>
                <c:pt idx="131">
                  <c:v>-60.6281273505151</c:v>
                </c:pt>
                <c:pt idx="132">
                  <c:v>-61.2006367926422</c:v>
                </c:pt>
                <c:pt idx="133">
                  <c:v>-61.7665411184873</c:v>
                </c:pt>
                <c:pt idx="134">
                  <c:v>-62.3257174444884</c:v>
                </c:pt>
                <c:pt idx="135">
                  <c:v>-62.8780548576643</c:v>
                </c:pt>
                <c:pt idx="136">
                  <c:v>-63.4234542212681</c:v>
                </c:pt>
                <c:pt idx="137">
                  <c:v>-63.9618279477265</c:v>
                </c:pt>
                <c:pt idx="138">
                  <c:v>-64.4930997420421</c:v>
                </c:pt>
                <c:pt idx="139">
                  <c:v>-65.0172043188295</c:v>
                </c:pt>
                <c:pt idx="140">
                  <c:v>-65.5340870961273</c:v>
                </c:pt>
                <c:pt idx="141">
                  <c:v>-66.0437038690623</c:v>
                </c:pt>
                <c:pt idx="142">
                  <c:v>-66.5460204663645</c:v>
                </c:pt>
                <c:pt idx="143">
                  <c:v>-67.0410123926157</c:v>
                </c:pt>
                <c:pt idx="144">
                  <c:v>-67.5286644590024</c:v>
                </c:pt>
                <c:pt idx="145">
                  <c:v>-68.0089704051952</c:v>
                </c:pt>
                <c:pt idx="146">
                  <c:v>-68.4819325148365</c:v>
                </c:pt>
                <c:pt idx="147">
                  <c:v>-68.9475612269538</c:v>
                </c:pt>
                <c:pt idx="148">
                  <c:v>-69.4058747454587</c:v>
                </c:pt>
                <c:pt idx="149">
                  <c:v>-69.8568986487166</c:v>
                </c:pt>
                <c:pt idx="150">
                  <c:v>-70.3006655010143</c:v>
                </c:pt>
                <c:pt idx="151">
                  <c:v>-70.7372144675766</c:v>
                </c:pt>
                <c:pt idx="152">
                  <c:v>-71.1665909346243</c:v>
                </c:pt>
                <c:pt idx="153">
                  <c:v>-71.5888461357996</c:v>
                </c:pt>
                <c:pt idx="154">
                  <c:v>-72.0040367861392</c:v>
                </c:pt>
                <c:pt idx="155">
                  <c:v>-72.4122247246117</c:v>
                </c:pt>
                <c:pt idx="156">
                  <c:v>-72.8134765661106</c:v>
                </c:pt>
                <c:pt idx="157">
                  <c:v>-73.2078633636451</c:v>
                </c:pt>
                <c:pt idx="158">
                  <c:v>-73.5954602813557</c:v>
                </c:pt>
                <c:pt idx="159">
                  <c:v>-73.9763462788562</c:v>
                </c:pt>
                <c:pt idx="160">
                  <c:v>-74.3506038072998</c:v>
                </c:pt>
                <c:pt idx="161">
                  <c:v>-74.7183185174651</c:v>
                </c:pt>
                <c:pt idx="162">
                  <c:v>-75.0795789800634</c:v>
                </c:pt>
                <c:pt idx="163">
                  <c:v>-75.4344764183896</c:v>
                </c:pt>
                <c:pt idx="164">
                  <c:v>-75.7831044533605</c:v>
                </c:pt>
                <c:pt idx="165">
                  <c:v>-76.1255588609172</c:v>
                </c:pt>
                <c:pt idx="166">
                  <c:v>-76.461937341711</c:v>
                </c:pt>
                <c:pt idx="167">
                  <c:v>-76.7923393029361</c:v>
                </c:pt>
                <c:pt idx="168">
                  <c:v>-77.1168656521277</c:v>
                </c:pt>
                <c:pt idx="169">
                  <c:v>-77.4356186027051</c:v>
                </c:pt>
                <c:pt idx="170">
                  <c:v>-77.7487014910053</c:v>
                </c:pt>
                <c:pt idx="171">
                  <c:v>-78.056218604523</c:v>
                </c:pt>
                <c:pt idx="172">
                  <c:v>-78.3582750210507</c:v>
                </c:pt>
                <c:pt idx="173">
                  <c:v>-78.6549764583932</c:v>
                </c:pt>
                <c:pt idx="174">
                  <c:v>-78.946429134318</c:v>
                </c:pt>
                <c:pt idx="175">
                  <c:v>-79.2327396363884</c:v>
                </c:pt>
                <c:pt idx="176">
                  <c:v>-79.5140148013227</c:v>
                </c:pt>
                <c:pt idx="177">
                  <c:v>-79.7903616035169</c:v>
                </c:pt>
                <c:pt idx="178">
                  <c:v>-80.0618870523661</c:v>
                </c:pt>
                <c:pt idx="179">
                  <c:v>-80.3286980980211</c:v>
                </c:pt>
                <c:pt idx="180">
                  <c:v>-80.5909015452207</c:v>
                </c:pt>
                <c:pt idx="181">
                  <c:v>-80.8486039748429</c:v>
                </c:pt>
                <c:pt idx="182">
                  <c:v>-81.1019116728258</c:v>
                </c:pt>
                <c:pt idx="183">
                  <c:v>-81.3509305661168</c:v>
                </c:pt>
                <c:pt idx="184">
                  <c:v>-81.5957661653166</c:v>
                </c:pt>
                <c:pt idx="185">
                  <c:v>-81.8365235136961</c:v>
                </c:pt>
                <c:pt idx="186">
                  <c:v>-82.0733071422716</c:v>
                </c:pt>
                <c:pt idx="187">
                  <c:v>-82.306221030639</c:v>
                </c:pt>
                <c:pt idx="188">
                  <c:v>-82.5353685732764</c:v>
                </c:pt>
                <c:pt idx="189">
                  <c:v>-82.7608525510383</c:v>
                </c:pt>
                <c:pt idx="190">
                  <c:v>-82.9827751075756</c:v>
                </c:pt>
                <c:pt idx="191">
                  <c:v>-83.2012377304296</c:v>
                </c:pt>
                <c:pt idx="192">
                  <c:v>-83.4163412365595</c:v>
                </c:pt>
                <c:pt idx="193">
                  <c:v>-83.6281857620772</c:v>
                </c:pt>
                <c:pt idx="194">
                  <c:v>-83.8368707559734</c:v>
                </c:pt>
                <c:pt idx="195">
                  <c:v>-84.0424949776348</c:v>
                </c:pt>
                <c:pt idx="196">
                  <c:v>-84.2451564979613</c:v>
                </c:pt>
                <c:pt idx="197">
                  <c:v>-84.4449527039052</c:v>
                </c:pt>
                <c:pt idx="198">
                  <c:v>-84.6419803062699</c:v>
                </c:pt>
                <c:pt idx="199">
                  <c:v>-84.8363353506106</c:v>
                </c:pt>
                <c:pt idx="200">
                  <c:v>-85.0281132310971</c:v>
                </c:pt>
                <c:pt idx="201">
                  <c:v>-85.2174087072077</c:v>
                </c:pt>
                <c:pt idx="202">
                  <c:v>-85.4043159231316</c:v>
                </c:pt>
                <c:pt idx="203">
                  <c:v>-85.5889284297745</c:v>
                </c:pt>
                <c:pt idx="204">
                  <c:v>-85.7713392092628</c:v>
                </c:pt>
                <c:pt idx="205">
                  <c:v>-85.9516407018622</c:v>
                </c:pt>
                <c:pt idx="206">
                  <c:v>-86.1299248352275</c:v>
                </c:pt>
                <c:pt idx="207">
                  <c:v>-86.3062830559139</c:v>
                </c:pt>
                <c:pt idx="208">
                  <c:v>-86.4808063630903</c:v>
                </c:pt>
                <c:pt idx="209">
                  <c:v>-86.6535853443985</c:v>
                </c:pt>
                <c:pt idx="210">
                  <c:v>-86.8247102139163</c:v>
                </c:pt>
                <c:pt idx="211">
                  <c:v>-86.9942708521869</c:v>
                </c:pt>
                <c:pt idx="212">
                  <c:v>-87.1623568482846</c:v>
                </c:pt>
                <c:pt idx="213">
                  <c:v>-87.3290575438958</c:v>
                </c:pt>
                <c:pt idx="214">
                  <c:v>-87.4944620793997</c:v>
                </c:pt>
                <c:pt idx="215">
                  <c:v>-87.6586594419391</c:v>
                </c:pt>
                <c:pt idx="216">
                  <c:v>-87.8217385154776</c:v>
                </c:pt>
                <c:pt idx="217">
                  <c:v>-87.9837881328489</c:v>
                </c:pt>
                <c:pt idx="218">
                  <c:v>-88.1448971297988</c:v>
                </c:pt>
                <c:pt idx="219">
                  <c:v>-88.3051544010381</c:v>
                </c:pt>
                <c:pt idx="220">
                  <c:v>-88.4646489583173</c:v>
                </c:pt>
                <c:pt idx="221">
                  <c:v>-88.6234699905439</c:v>
                </c:pt>
                <c:pt idx="222">
                  <c:v>-88.7817069259611</c:v>
                </c:pt>
                <c:pt idx="223">
                  <c:v>-88.9394494964131</c:v>
                </c:pt>
                <c:pt idx="224">
                  <c:v>-89.0967878037187</c:v>
                </c:pt>
                <c:pt idx="225">
                  <c:v>-89.2538123881788</c:v>
                </c:pt>
                <c:pt idx="226">
                  <c:v>-89.4106142992393</c:v>
                </c:pt>
                <c:pt idx="227">
                  <c:v>-89.5672851683307</c:v>
                </c:pt>
                <c:pt idx="228">
                  <c:v>-89.7239172839046</c:v>
                </c:pt>
                <c:pt idx="229">
                  <c:v>-89.8806036686778</c:v>
                </c:pt>
                <c:pt idx="230">
                  <c:v>-90.0374381590943</c:v>
                </c:pt>
                <c:pt idx="231">
                  <c:v>-90.1945154870058</c:v>
                </c:pt>
                <c:pt idx="232">
                  <c:v>-90.3519313635621</c:v>
                </c:pt>
                <c:pt idx="233">
                  <c:v>-90.509782565294</c:v>
                </c:pt>
                <c:pt idx="234">
                  <c:v>-90.6681670223576</c:v>
                </c:pt>
                <c:pt idx="235">
                  <c:v>-90.8271839088931</c:v>
                </c:pt>
                <c:pt idx="236">
                  <c:v>-90.9869337354376</c:v>
                </c:pt>
                <c:pt idx="237">
                  <c:v>-91.1475184433086</c:v>
                </c:pt>
                <c:pt idx="238">
                  <c:v>-91.309041500854</c:v>
                </c:pt>
                <c:pt idx="239">
                  <c:v>-91.4716080014415</c:v>
                </c:pt>
                <c:pt idx="240">
                  <c:v>-91.6353247630276</c:v>
                </c:pt>
                <c:pt idx="241">
                  <c:v>-91.8003004291227</c:v>
                </c:pt>
                <c:pt idx="242">
                  <c:v>-91.9666455709246</c:v>
                </c:pt>
                <c:pt idx="243">
                  <c:v>-92.1344727903657</c:v>
                </c:pt>
                <c:pt idx="244">
                  <c:v>-92.3038968237669</c:v>
                </c:pt>
                <c:pt idx="245">
                  <c:v>-92.4750346457544</c:v>
                </c:pt>
                <c:pt idx="246">
                  <c:v>-92.648005573039</c:v>
                </c:pt>
                <c:pt idx="247">
                  <c:v>-92.8229313676106</c:v>
                </c:pt>
                <c:pt idx="248">
                  <c:v>-92.999936338836</c:v>
                </c:pt>
                <c:pt idx="249">
                  <c:v>-93.1791474438916</c:v>
                </c:pt>
                <c:pt idx="250">
                  <c:v>-93.360694385897</c:v>
                </c:pt>
                <c:pt idx="251">
                  <c:v>-93.5447097090392</c:v>
                </c:pt>
                <c:pt idx="252">
                  <c:v>-93.7313288899141</c:v>
                </c:pt>
                <c:pt idx="253">
                  <c:v>-93.9206904242258</c:v>
                </c:pt>
                <c:pt idx="254">
                  <c:v>-94.1129359079113</c:v>
                </c:pt>
                <c:pt idx="255">
                  <c:v>-94.3082101116724</c:v>
                </c:pt>
                <c:pt idx="256">
                  <c:v>-94.5066610478125</c:v>
                </c:pt>
                <c:pt idx="257">
                  <c:v>-94.7084400281951</c:v>
                </c:pt>
                <c:pt idx="258">
                  <c:v>-94.9137017120491</c:v>
                </c:pt>
                <c:pt idx="259">
                  <c:v>-95.1226041422671</c:v>
                </c:pt>
                <c:pt idx="260">
                  <c:v>-95.3353087687572</c:v>
                </c:pt>
                <c:pt idx="261">
                  <c:v>-95.5519804573301</c:v>
                </c:pt>
                <c:pt idx="262">
                  <c:v>-95.7727874825326</c:v>
                </c:pt>
                <c:pt idx="263">
                  <c:v>-95.9979015027635</c:v>
                </c:pt>
                <c:pt idx="264">
                  <c:v>-96.2274975159576</c:v>
                </c:pt>
                <c:pt idx="265">
                  <c:v>-96.4617537940695</c:v>
                </c:pt>
                <c:pt idx="266">
                  <c:v>-96.7008517945548</c:v>
                </c:pt>
                <c:pt idx="267">
                  <c:v>-96.9449760470217</c:v>
                </c:pt>
                <c:pt idx="268">
                  <c:v>-97.1943140132304</c:v>
                </c:pt>
                <c:pt idx="269">
                  <c:v>-97.4490559186214</c:v>
                </c:pt>
                <c:pt idx="270">
                  <c:v>-97.7093945536029</c:v>
                </c:pt>
                <c:pt idx="271">
                  <c:v>-97.9755250428803</c:v>
                </c:pt>
                <c:pt idx="272">
                  <c:v>-98.2476445812031</c:v>
                </c:pt>
                <c:pt idx="273">
                  <c:v>-98.5259521340214</c:v>
                </c:pt>
                <c:pt idx="274">
                  <c:v>-98.8106481016875</c:v>
                </c:pt>
                <c:pt idx="275">
                  <c:v>-99.1019339460223</c:v>
                </c:pt>
                <c:pt idx="276">
                  <c:v>-99.4000117782729</c:v>
                </c:pt>
                <c:pt idx="277">
                  <c:v>-99.7050839077365</c:v>
                </c:pt>
                <c:pt idx="278">
                  <c:v>-100.017352350603</c:v>
                </c:pt>
                <c:pt idx="279">
                  <c:v>-100.337018298883</c:v>
                </c:pt>
                <c:pt idx="280">
                  <c:v>-100.664281549635</c:v>
                </c:pt>
                <c:pt idx="281">
                  <c:v>-100.999339895074</c:v>
                </c:pt>
                <c:pt idx="282">
                  <c:v>-101.34238847455</c:v>
                </c:pt>
                <c:pt idx="283">
                  <c:v>-101.693619089823</c:v>
                </c:pt>
                <c:pt idx="284">
                  <c:v>-102.05321948549</c:v>
                </c:pt>
                <c:pt idx="285">
                  <c:v>-102.421372596895</c:v>
                </c:pt>
                <c:pt idx="286">
                  <c:v>-102.79825576832</c:v>
                </c:pt>
                <c:pt idx="287">
                  <c:v>-103.184039944737</c:v>
                </c:pt>
                <c:pt idx="288">
                  <c:v>-103.578888840861</c:v>
                </c:pt>
                <c:pt idx="289">
                  <c:v>-103.982958091713</c:v>
                </c:pt>
                <c:pt idx="290">
                  <c:v>-104.39639438933</c:v>
                </c:pt>
                <c:pt idx="291">
                  <c:v>-104.819334610693</c:v>
                </c:pt>
                <c:pt idx="292">
                  <c:v>-105.251904942294</c:v>
                </c:pt>
                <c:pt idx="293">
                  <c:v>-105.694220007118</c:v>
                </c:pt>
                <c:pt idx="294">
                  <c:v>-106.146382000089</c:v>
                </c:pt>
                <c:pt idx="295">
                  <c:v>-106.608479838256</c:v>
                </c:pt>
                <c:pt idx="296">
                  <c:v>-107.080588332167</c:v>
                </c:pt>
                <c:pt idx="297">
                  <c:v>-107.562767384953</c:v>
                </c:pt>
                <c:pt idx="298">
                  <c:v>-108.055061225705</c:v>
                </c:pt>
                <c:pt idx="299">
                  <c:v>-108.557497683623</c:v>
                </c:pt>
                <c:pt idx="300">
                  <c:v>-109.070087509344</c:v>
                </c:pt>
                <c:pt idx="301">
                  <c:v>-109.592823749615</c:v>
                </c:pt>
                <c:pt idx="302">
                  <c:v>-110.125681181221</c:v>
                </c:pt>
                <c:pt idx="303">
                  <c:v>-110.668615809717</c:v>
                </c:pt>
                <c:pt idx="304">
                  <c:v>-111.22156443813</c:v>
                </c:pt>
                <c:pt idx="305">
                  <c:v>-111.784444310277</c:v>
                </c:pt>
                <c:pt idx="306">
                  <c:v>-112.357152832864</c:v>
                </c:pt>
                <c:pt idx="307">
                  <c:v>-112.939567379922</c:v>
                </c:pt>
                <c:pt idx="308">
                  <c:v>-113.53154518255</c:v>
                </c:pt>
                <c:pt idx="309">
                  <c:v>-114.132923306253</c:v>
                </c:pt>
                <c:pt idx="310">
                  <c:v>-114.743518717544</c:v>
                </c:pt>
                <c:pt idx="311">
                  <c:v>-115.363128440749</c:v>
                </c:pt>
                <c:pt idx="312">
                  <c:v>-115.991529805306</c:v>
                </c:pt>
                <c:pt idx="313">
                  <c:v>-116.628480783136</c:v>
                </c:pt>
                <c:pt idx="314">
                  <c:v>-117.273720415013</c:v>
                </c:pt>
                <c:pt idx="315">
                  <c:v>-117.926969324177</c:v>
                </c:pt>
                <c:pt idx="316">
                  <c:v>-118.587930314821</c:v>
                </c:pt>
                <c:pt idx="317">
                  <c:v>-119.256289052458</c:v>
                </c:pt>
                <c:pt idx="318">
                  <c:v>-119.931714822601</c:v>
                </c:pt>
                <c:pt idx="319">
                  <c:v>-120.613861363658</c:v>
                </c:pt>
                <c:pt idx="320">
                  <c:v>-121.302367769427</c:v>
                </c:pt>
                <c:pt idx="321">
                  <c:v>-121.996859456125</c:v>
                </c:pt>
                <c:pt idx="322">
                  <c:v>-122.696949188481</c:v>
                </c:pt>
                <c:pt idx="323">
                  <c:v>-123.402238159016</c:v>
                </c:pt>
                <c:pt idx="324">
                  <c:v>-124.112317114371</c:v>
                </c:pt>
                <c:pt idx="325">
                  <c:v>-124.826767522205</c:v>
                </c:pt>
                <c:pt idx="326">
                  <c:v>-125.545162772012</c:v>
                </c:pt>
                <c:pt idx="327">
                  <c:v>-126.267069403</c:v>
                </c:pt>
                <c:pt idx="328">
                  <c:v>-126.99204835209</c:v>
                </c:pt>
                <c:pt idx="329">
                  <c:v>-127.719656214974</c:v>
                </c:pt>
                <c:pt idx="330">
                  <c:v>-128.4494465132</c:v>
                </c:pt>
                <c:pt idx="331">
                  <c:v>-129.180970960281</c:v>
                </c:pt>
                <c:pt idx="332">
                  <c:v>-129.913780719889</c:v>
                </c:pt>
                <c:pt idx="333">
                  <c:v>-130.647427649371</c:v>
                </c:pt>
                <c:pt idx="334">
                  <c:v>-131.381465522008</c:v>
                </c:pt>
                <c:pt idx="335">
                  <c:v>-132.115451221681</c:v>
                </c:pt>
                <c:pt idx="336">
                  <c:v>-132.848945903912</c:v>
                </c:pt>
                <c:pt idx="337">
                  <c:v>-133.581516117588</c:v>
                </c:pt>
                <c:pt idx="338">
                  <c:v>-134.312734882061</c:v>
                </c:pt>
                <c:pt idx="339">
                  <c:v>-135.04218271475</c:v>
                </c:pt>
                <c:pt idx="340">
                  <c:v>-135.769448604825</c:v>
                </c:pt>
                <c:pt idx="341">
                  <c:v>-136.494130929053</c:v>
                </c:pt>
                <c:pt idx="342">
                  <c:v>-137.215838306392</c:v>
                </c:pt>
                <c:pt idx="343">
                  <c:v>-137.934190388471</c:v>
                </c:pt>
                <c:pt idx="344">
                  <c:v>-138.648818583627</c:v>
                </c:pt>
                <c:pt idx="345">
                  <c:v>-139.35936671274</c:v>
                </c:pt>
                <c:pt idx="346">
                  <c:v>-140.065491595631</c:v>
                </c:pt>
                <c:pt idx="347">
                  <c:v>-140.766863567389</c:v>
                </c:pt>
                <c:pt idx="348">
                  <c:v>-141.463166924459</c:v>
                </c:pt>
                <c:pt idx="349">
                  <c:v>-142.154100300899</c:v>
                </c:pt>
                <c:pt idx="350">
                  <c:v>-142.839376975662</c:v>
                </c:pt>
                <c:pt idx="351">
                  <c:v>-143.518725112241</c:v>
                </c:pt>
                <c:pt idx="352">
                  <c:v>-144.191887932437</c:v>
                </c:pt>
                <c:pt idx="353">
                  <c:v>-144.858623826386</c:v>
                </c:pt>
                <c:pt idx="354">
                  <c:v>-145.51870640136</c:v>
                </c:pt>
                <c:pt idx="355">
                  <c:v>-146.171924472128</c:v>
                </c:pt>
                <c:pt idx="356">
                  <c:v>-146.81808199595</c:v>
                </c:pt>
                <c:pt idx="357">
                  <c:v>-147.456997955495</c:v>
                </c:pt>
                <c:pt idx="358">
                  <c:v>-148.088506193124</c:v>
                </c:pt>
                <c:pt idx="359">
                  <c:v>-148.712455200154</c:v>
                </c:pt>
                <c:pt idx="360">
                  <c:v>-149.32870786476</c:v>
                </c:pt>
                <c:pt idx="361">
                  <c:v>-149.937141182264</c:v>
                </c:pt>
                <c:pt idx="362">
                  <c:v>-150.537645931544</c:v>
                </c:pt>
                <c:pt idx="363">
                  <c:v>-151.130126321287</c:v>
                </c:pt>
                <c:pt idx="364">
                  <c:v>-151.714499609757</c:v>
                </c:pt>
                <c:pt idx="365">
                  <c:v>-152.290695701656</c:v>
                </c:pt>
                <c:pt idx="366">
                  <c:v>-152.858656725556</c:v>
                </c:pt>
                <c:pt idx="367">
                  <c:v>-153.418336595261</c:v>
                </c:pt>
                <c:pt idx="368">
                  <c:v>-153.969700558284</c:v>
                </c:pt>
                <c:pt idx="369">
                  <c:v>-154.51272473448</c:v>
                </c:pt>
                <c:pt idx="370">
                  <c:v>-155.047395647711</c:v>
                </c:pt>
                <c:pt idx="371">
                  <c:v>-155.573709753204</c:v>
                </c:pt>
                <c:pt idx="372">
                  <c:v>-156.091672963099</c:v>
                </c:pt>
                <c:pt idx="373">
                  <c:v>-156.601300172494</c:v>
                </c:pt>
                <c:pt idx="374">
                  <c:v>-157.102614788072</c:v>
                </c:pt>
                <c:pt idx="375">
                  <c:v>-157.595648261234</c:v>
                </c:pt>
                <c:pt idx="376">
                  <c:v>-158.080439627452</c:v>
                </c:pt>
                <c:pt idx="377">
                  <c:v>-158.557035053383</c:v>
                </c:pt>
                <c:pt idx="378">
                  <c:v>-159.025487393089</c:v>
                </c:pt>
                <c:pt idx="379">
                  <c:v>-159.485855754566</c:v>
                </c:pt>
                <c:pt idx="380">
                  <c:v>-159.938205077576</c:v>
                </c:pt>
                <c:pt idx="381">
                  <c:v>-160.382605723669</c:v>
                </c:pt>
                <c:pt idx="382">
                  <c:v>-160.819133079104</c:v>
                </c:pt>
                <c:pt idx="383">
                  <c:v>-161.247867171245</c:v>
                </c:pt>
                <c:pt idx="384">
                  <c:v>-161.668892298898</c:v>
                </c:pt>
                <c:pt idx="385">
                  <c:v>-162.08229667692</c:v>
                </c:pt>
                <c:pt idx="386">
                  <c:v>-162.488172095331</c:v>
                </c:pt>
                <c:pt idx="387">
                  <c:v>-162.886613593064</c:v>
                </c:pt>
                <c:pt idx="388">
                  <c:v>-163.277719146398</c:v>
                </c:pt>
                <c:pt idx="389">
                  <c:v>-163.661589372044</c:v>
                </c:pt>
                <c:pt idx="390">
                  <c:v>-164.038327244763</c:v>
                </c:pt>
                <c:pt idx="391">
                  <c:v>-164.408037829374</c:v>
                </c:pt>
                <c:pt idx="392">
                  <c:v>-164.770828026915</c:v>
                </c:pt>
                <c:pt idx="393">
                  <c:v>-165.126806334685</c:v>
                </c:pt>
                <c:pt idx="394">
                  <c:v>-165.476082619875</c:v>
                </c:pt>
                <c:pt idx="395">
                  <c:v>-165.818767906432</c:v>
                </c:pt>
                <c:pt idx="396">
                  <c:v>-166.154974174786</c:v>
                </c:pt>
                <c:pt idx="397">
                  <c:v>-166.484814174053</c:v>
                </c:pt>
                <c:pt idx="398">
                  <c:v>-166.808401246298</c:v>
                </c:pt>
                <c:pt idx="399">
                  <c:v>-167.125849162432</c:v>
                </c:pt>
                <c:pt idx="400">
                  <c:v>-167.437271969314</c:v>
                </c:pt>
                <c:pt idx="401">
                  <c:v>-167.742783847607</c:v>
                </c:pt>
                <c:pt idx="402">
                  <c:v>-168.042498979955</c:v>
                </c:pt>
                <c:pt idx="403">
                  <c:v>-168.336531429036</c:v>
                </c:pt>
                <c:pt idx="404">
                  <c:v>-168.624995025042</c:v>
                </c:pt>
                <c:pt idx="405">
                  <c:v>-168.908003262155</c:v>
                </c:pt>
                <c:pt idx="406">
                  <c:v>-169.185669203601</c:v>
                </c:pt>
                <c:pt idx="407">
                  <c:v>-169.458105394831</c:v>
                </c:pt>
                <c:pt idx="408">
                  <c:v>-169.725423784449</c:v>
                </c:pt>
                <c:pt idx="409">
                  <c:v>-169.987735652465</c:v>
                </c:pt>
                <c:pt idx="410">
                  <c:v>-170.245151545489</c:v>
                </c:pt>
                <c:pt idx="411">
                  <c:v>-170.497781218491</c:v>
                </c:pt>
                <c:pt idx="412">
                  <c:v>-170.74573358275</c:v>
                </c:pt>
                <c:pt idx="413">
                  <c:v>-170.989116659656</c:v>
                </c:pt>
                <c:pt idx="414">
                  <c:v>-171.228037540017</c:v>
                </c:pt>
                <c:pt idx="415">
                  <c:v>-171.46260234854</c:v>
                </c:pt>
                <c:pt idx="416">
                  <c:v>-171.692916213187</c:v>
                </c:pt>
                <c:pt idx="417">
                  <c:v>-171.919083239104</c:v>
                </c:pt>
                <c:pt idx="418">
                  <c:v>-172.141206486825</c:v>
                </c:pt>
                <c:pt idx="419">
                  <c:v>-172.359387954505</c:v>
                </c:pt>
                <c:pt idx="420">
                  <c:v>-172.573728563899</c:v>
                </c:pt>
                <c:pt idx="421">
                  <c:v>-172.784328149859</c:v>
                </c:pt>
                <c:pt idx="422">
                  <c:v>-172.991285453105</c:v>
                </c:pt>
                <c:pt idx="423">
                  <c:v>-173.194698116057</c:v>
                </c:pt>
                <c:pt idx="424">
                  <c:v>-173.394662681516</c:v>
                </c:pt>
                <c:pt idx="425">
                  <c:v>-173.591274593993</c:v>
                </c:pt>
                <c:pt idx="426">
                  <c:v>-173.784628203511</c:v>
                </c:pt>
                <c:pt idx="427">
                  <c:v>-173.974816771688</c:v>
                </c:pt>
                <c:pt idx="428">
                  <c:v>-174.16193247995</c:v>
                </c:pt>
                <c:pt idx="429">
                  <c:v>-174.346066439712</c:v>
                </c:pt>
                <c:pt idx="430">
                  <c:v>-174.527308704376</c:v>
                </c:pt>
                <c:pt idx="431">
                  <c:v>-174.70574828302</c:v>
                </c:pt>
                <c:pt idx="432">
                  <c:v>-174.88147315564</c:v>
                </c:pt>
                <c:pt idx="433">
                  <c:v>-175.054570289827</c:v>
                </c:pt>
                <c:pt idx="434">
                  <c:v>-175.225125658766</c:v>
                </c:pt>
                <c:pt idx="435">
                  <c:v>-175.393224260449</c:v>
                </c:pt>
                <c:pt idx="436">
                  <c:v>-175.558950138013</c:v>
                </c:pt>
                <c:pt idx="437">
                  <c:v>-175.722386401094</c:v>
                </c:pt>
                <c:pt idx="438">
                  <c:v>-175.883615248129</c:v>
                </c:pt>
                <c:pt idx="439">
                  <c:v>-176.042717989515</c:v>
                </c:pt>
                <c:pt idx="440">
                  <c:v>-176.199775071549</c:v>
                </c:pt>
                <c:pt idx="441">
                  <c:v>-176.354866101092</c:v>
                </c:pt>
                <c:pt idx="442">
                  <c:v>-176.508069870884</c:v>
                </c:pt>
                <c:pt idx="443">
                  <c:v>-176.659464385449</c:v>
                </c:pt>
                <c:pt idx="444">
                  <c:v>-176.809126887538</c:v>
                </c:pt>
                <c:pt idx="445">
                  <c:v>-176.957133885063</c:v>
                </c:pt>
                <c:pt idx="446">
                  <c:v>-177.10356117847</c:v>
                </c:pt>
                <c:pt idx="447">
                  <c:v>-177.248483888505</c:v>
                </c:pt>
                <c:pt idx="448">
                  <c:v>-177.391976484344</c:v>
                </c:pt>
                <c:pt idx="449">
                  <c:v>-177.534112812032</c:v>
                </c:pt>
                <c:pt idx="450">
                  <c:v>-177.674966123218</c:v>
                </c:pt>
                <c:pt idx="451">
                  <c:v>-177.814609104141</c:v>
                </c:pt>
                <c:pt idx="452">
                  <c:v>-177.953113904835</c:v>
                </c:pt>
                <c:pt idx="453">
                  <c:v>-178.090552168546</c:v>
                </c:pt>
                <c:pt idx="454">
                  <c:v>-178.22699506131</c:v>
                </c:pt>
                <c:pt idx="455">
                  <c:v>-178.362513301695</c:v>
                </c:pt>
                <c:pt idx="456">
                  <c:v>-178.497177190667</c:v>
                </c:pt>
                <c:pt idx="457">
                  <c:v>-178.631056641575</c:v>
                </c:pt>
                <c:pt idx="458">
                  <c:v>-178.764221210226</c:v>
                </c:pt>
                <c:pt idx="459">
                  <c:v>-178.896740125043</c:v>
                </c:pt>
                <c:pt idx="460">
                  <c:v>-179.028682317291</c:v>
                </c:pt>
                <c:pt idx="461">
                  <c:v>-179.160116451348</c:v>
                </c:pt>
                <c:pt idx="462">
                  <c:v>-179.291110955018</c:v>
                </c:pt>
                <c:pt idx="463">
                  <c:v>-179.421734049871</c:v>
                </c:pt>
                <c:pt idx="464">
                  <c:v>-179.552053781596</c:v>
                </c:pt>
                <c:pt idx="465">
                  <c:v>-179.68213805036</c:v>
                </c:pt>
                <c:pt idx="466">
                  <c:v>-179.81205464116</c:v>
                </c:pt>
                <c:pt idx="467">
                  <c:v>-179.94187125416</c:v>
                </c:pt>
                <c:pt idx="468">
                  <c:v>179.928344464998</c:v>
                </c:pt>
                <c:pt idx="469">
                  <c:v>179.79852489492</c:v>
                </c:pt>
                <c:pt idx="470">
                  <c:v>179.668602408227</c:v>
                </c:pt>
                <c:pt idx="471">
                  <c:v>179.538509341383</c:v>
                </c:pt>
                <c:pt idx="472">
                  <c:v>179.408177964586</c:v>
                </c:pt>
                <c:pt idx="473">
                  <c:v>179.277540451732</c:v>
                </c:pt>
                <c:pt idx="474">
                  <c:v>179.146528850472</c:v>
                </c:pt>
                <c:pt idx="475">
                  <c:v>179.015075052364</c:v>
                </c:pt>
                <c:pt idx="476">
                  <c:v>178.883110763138</c:v>
                </c:pt>
                <c:pt idx="477">
                  <c:v>178.750567473083</c:v>
                </c:pt>
                <c:pt idx="478">
                  <c:v>178.617376427581</c:v>
                </c:pt>
                <c:pt idx="479">
                  <c:v>178.483468597789</c:v>
                </c:pt>
                <c:pt idx="480">
                  <c:v>178.348774651493</c:v>
                </c:pt>
                <c:pt idx="481">
                  <c:v>178.213224924158</c:v>
                </c:pt>
                <c:pt idx="482">
                  <c:v>178.076749390183</c:v>
                </c:pt>
                <c:pt idx="483">
                  <c:v>177.93927763439</c:v>
                </c:pt>
                <c:pt idx="484">
                  <c:v>177.800738823769</c:v>
                </c:pt>
                <c:pt idx="485">
                  <c:v>177.661061679503</c:v>
                </c:pt>
                <c:pt idx="486">
                  <c:v>177.520174449301</c:v>
                </c:pt>
                <c:pt idx="487">
                  <c:v>177.378004880076</c:v>
                </c:pt>
                <c:pt idx="488">
                  <c:v>177.234480190984</c:v>
                </c:pt>
                <c:pt idx="489">
                  <c:v>177.089527046886</c:v>
                </c:pt>
                <c:pt idx="490">
                  <c:v>176.943071532242</c:v>
                </c:pt>
                <c:pt idx="491">
                  <c:v>176.795039125504</c:v>
                </c:pt>
                <c:pt idx="492">
                  <c:v>176.645354674036</c:v>
                </c:pt>
                <c:pt idx="493">
                  <c:v>176.493942369623</c:v>
                </c:pt>
                <c:pt idx="494">
                  <c:v>176.340725724609</c:v>
                </c:pt>
                <c:pt idx="495">
                  <c:v>176.185627548736</c:v>
                </c:pt>
                <c:pt idx="496">
                  <c:v>176.028569926729</c:v>
                </c:pt>
                <c:pt idx="497">
                  <c:v>175.869474196711</c:v>
                </c:pt>
                <c:pt idx="498">
                  <c:v>175.708260929501</c:v>
                </c:pt>
                <c:pt idx="499">
                  <c:v>175.544849908887</c:v>
                </c:pt>
                <c:pt idx="500">
                  <c:v>175.379160112948</c:v>
                </c:pt>
                <c:pt idx="501">
                  <c:v>175.211109696513</c:v>
                </c:pt>
                <c:pt idx="502">
                  <c:v>175.040615974856</c:v>
                </c:pt>
                <c:pt idx="503">
                  <c:v>174.867595408719</c:v>
                </c:pt>
                <c:pt idx="504">
                  <c:v>174.691963590786</c:v>
                </c:pt>
                <c:pt idx="505">
                  <c:v>174.513635233703</c:v>
                </c:pt>
                <c:pt idx="506">
                  <c:v>174.33252415978</c:v>
                </c:pt>
                <c:pt idx="507">
                  <c:v>174.148543292507</c:v>
                </c:pt>
                <c:pt idx="508">
                  <c:v>173.961604650009</c:v>
                </c:pt>
                <c:pt idx="509">
                  <c:v>173.771619340603</c:v>
                </c:pt>
                <c:pt idx="510">
                  <c:v>173.578497560599</c:v>
                </c:pt>
                <c:pt idx="511">
                  <c:v>173.382148594527</c:v>
                </c:pt>
                <c:pt idx="512">
                  <c:v>173.182480817945</c:v>
                </c:pt>
                <c:pt idx="513">
                  <c:v>172.979401703035</c:v>
                </c:pt>
                <c:pt idx="514">
                  <c:v>172.77281782716</c:v>
                </c:pt>
                <c:pt idx="515">
                  <c:v>172.562634884615</c:v>
                </c:pt>
                <c:pt idx="516">
                  <c:v>172.348757701758</c:v>
                </c:pt>
                <c:pt idx="517">
                  <c:v>172.131090255778</c:v>
                </c:pt>
                <c:pt idx="518">
                  <c:v>171.909535697318</c:v>
                </c:pt>
                <c:pt idx="519">
                  <c:v>171.683996377221</c:v>
                </c:pt>
                <c:pt idx="520">
                  <c:v>171.454373877644</c:v>
                </c:pt>
                <c:pt idx="521">
                  <c:v>171.220569047833</c:v>
                </c:pt>
                <c:pt idx="522">
                  <c:v>170.982482044824</c:v>
                </c:pt>
                <c:pt idx="523">
                  <c:v>170.740012379388</c:v>
                </c:pt>
                <c:pt idx="524">
                  <c:v>170.493058967508</c:v>
                </c:pt>
                <c:pt idx="525">
                  <c:v>170.241520187725</c:v>
                </c:pt>
                <c:pt idx="526">
                  <c:v>169.985293944663</c:v>
                </c:pt>
                <c:pt idx="527">
                  <c:v>169.724277739092</c:v>
                </c:pt>
                <c:pt idx="528">
                  <c:v>169.458368744859</c:v>
                </c:pt>
                <c:pt idx="529">
                  <c:v>169.18746389305</c:v>
                </c:pt>
                <c:pt idx="530">
                  <c:v>168.911459963747</c:v>
                </c:pt>
                <c:pt idx="531">
                  <c:v>168.630253685747</c:v>
                </c:pt>
                <c:pt idx="532">
                  <c:v>168.343741844605</c:v>
                </c:pt>
                <c:pt idx="533">
                  <c:v>168.051821399388</c:v>
                </c:pt>
                <c:pt idx="534">
                  <c:v>167.754389608505</c:v>
                </c:pt>
                <c:pt idx="535">
                  <c:v>167.451344164984</c:v>
                </c:pt>
                <c:pt idx="536">
                  <c:v>167.142583341562</c:v>
                </c:pt>
                <c:pt idx="537">
                  <c:v>166.828006145947</c:v>
                </c:pt>
                <c:pt idx="538">
                  <c:v>166.507512486588</c:v>
                </c:pt>
                <c:pt idx="539">
                  <c:v>166.181003349293</c:v>
                </c:pt>
                <c:pt idx="540">
                  <c:v>165.848380984999</c:v>
                </c:pt>
                <c:pt idx="541">
                  <c:v>165.509549108969</c:v>
                </c:pt>
              </c:numCache>
            </c:numRef>
          </c:yVal>
          <c:smooth val="1"/>
        </c:ser>
        <c:dLbls>
          <c:showLegendKey val="0"/>
          <c:showVal val="0"/>
          <c:showCatName val="0"/>
          <c:showSerName val="0"/>
          <c:showPercent val="0"/>
          <c:showBubbleSize val="0"/>
        </c:dLbls>
        <c:axId val="175511040"/>
        <c:axId val="175509504"/>
      </c:scatterChart>
      <c:valAx>
        <c:axId val="178188288"/>
        <c:scaling>
          <c:logBase val="10"/>
          <c:orientation val="minMax"/>
          <c:max val="2200000"/>
          <c:min val="10"/>
        </c:scaling>
        <c:delete val="0"/>
        <c:axPos val="b"/>
        <c:minorGridlines/>
        <c:title>
          <c:tx>
            <c:rich>
              <a:bodyPr rot="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Frequency</a:t>
                </a:r>
                <a:r>
                  <a:rPr lang="en-US" baseline="0"/>
                  <a:t> (Hz)</a:t>
                </a:r>
                <a:endParaRPr lang="en-US"/>
              </a:p>
            </c:rich>
          </c:tx>
          <c:layout/>
          <c:overlay val="0"/>
        </c:title>
        <c:numFmt formatCode="0" sourceLinked="0"/>
        <c:majorTickMark val="out"/>
        <c:minorTickMark val="none"/>
        <c:tickLblPos val="low"/>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190208"/>
        <c:crosses val="autoZero"/>
        <c:crossBetween val="midCat"/>
      </c:valAx>
      <c:valAx>
        <c:axId val="178190208"/>
        <c:scaling>
          <c:orientation val="minMax"/>
          <c:max val="40"/>
          <c:min val="-40"/>
        </c:scaling>
        <c:delete val="0"/>
        <c:axPos val="l"/>
        <c:majorGridlines/>
        <c:minorGridlines/>
        <c:title>
          <c:tx>
            <c:rich>
              <a:bodyPr rot="-540000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Gain</a:t>
                </a:r>
                <a:r>
                  <a:rPr lang="en-US" baseline="0"/>
                  <a:t> (dB)</a:t>
                </a:r>
                <a:endParaRPr lang="en-US"/>
              </a:p>
            </c:rich>
          </c:tx>
          <c:layout/>
          <c:overlay val="0"/>
        </c:title>
        <c:numFmt formatCode="General" sourceLinked="0"/>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188288"/>
        <c:crosses val="autoZero"/>
        <c:crossBetween val="midCat"/>
        <c:majorUnit val="20"/>
        <c:minorUnit val="10"/>
      </c:valAx>
      <c:valAx>
        <c:axId val="175511040"/>
        <c:scaling>
          <c:logBase val="10"/>
          <c:orientation val="minMax"/>
        </c:scaling>
        <c:delete val="1"/>
        <c:axPos val="b"/>
        <c:numFmt formatCode="0.00"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509504"/>
        <c:crosses val="autoZero"/>
        <c:crossBetween val="midCat"/>
      </c:valAx>
      <c:valAx>
        <c:axId val="175509504"/>
        <c:scaling>
          <c:orientation val="minMax"/>
          <c:max val="180"/>
          <c:min val="-180"/>
        </c:scaling>
        <c:delete val="0"/>
        <c:axPos val="r"/>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511040"/>
        <c:crosses val="max"/>
        <c:crossBetween val="midCat"/>
        <c:majorUnit val="90"/>
        <c:minorUnit val="45"/>
      </c:valAx>
    </c:plotArea>
    <c:legend>
      <c:legendPos val="r"/>
      <c:layout>
        <c:manualLayout>
          <c:xMode val="edge"/>
          <c:yMode val="edge"/>
          <c:x val="0.798805582095125"/>
          <c:y val="0.14321997959862"/>
          <c:w val="0.134594492760573"/>
          <c:h val="0.106916098611994"/>
        </c:manualLayout>
      </c:layout>
      <c:overlay val="1"/>
      <c:spPr>
        <a:solidFill>
          <a:schemeClr val="bg1"/>
        </a:solidFill>
      </c:spPr>
      <c:txPr>
        <a:bodyPr rot="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9ab468d-2a4e-4a53-9b29-363742c6de08}"/>
      </c:ext>
    </c:extLst>
  </c:chart>
  <c:txPr>
    <a:bodyPr/>
    <a:lstStyle/>
    <a:p>
      <a:pPr>
        <a:defRPr lang="pl-PL"/>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pl-PL" sz="1800" b="1" i="0" u="none" strike="noStrike" kern="1200" baseline="0">
                <a:solidFill>
                  <a:schemeClr val="tx1"/>
                </a:solidFill>
                <a:latin typeface="+mn-lt"/>
                <a:ea typeface="+mn-ea"/>
                <a:cs typeface="+mn-cs"/>
              </a:defRPr>
            </a:pPr>
            <a:r>
              <a:rPr lang="en-US"/>
              <a:t>Error</a:t>
            </a:r>
            <a:r>
              <a:rPr lang="en-US" baseline="0"/>
              <a:t> Amplifier Transfer</a:t>
            </a:r>
            <a:endParaRPr lang="en-US" baseline="0"/>
          </a:p>
        </c:rich>
      </c:tx>
      <c:layout/>
      <c:overlay val="0"/>
    </c:title>
    <c:autoTitleDeleted val="0"/>
    <c:plotArea>
      <c:layout/>
      <c:scatterChart>
        <c:scatterStyle val="smooth"/>
        <c:varyColors val="0"/>
        <c:ser>
          <c:idx val="0"/>
          <c:order val="0"/>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Loop_Modeling!$BD$19:$BD$560</c:f>
              <c:numCache>
                <c:formatCode>General</c:formatCode>
                <c:ptCount val="542"/>
                <c:pt idx="0">
                  <c:v>25.5179720559039</c:v>
                </c:pt>
                <c:pt idx="1">
                  <c:v>25.3182275657641</c:v>
                </c:pt>
                <c:pt idx="2">
                  <c:v>25.1184951013082</c:v>
                </c:pt>
                <c:pt idx="3">
                  <c:v>24.9187752277354</c:v>
                </c:pt>
                <c:pt idx="4">
                  <c:v>24.7190685367327</c:v>
                </c:pt>
                <c:pt idx="5">
                  <c:v>24.5193756477086</c:v>
                </c:pt>
                <c:pt idx="6">
                  <c:v>24.3196972090834</c:v>
                </c:pt>
                <c:pt idx="7">
                  <c:v>24.1200338996399</c:v>
                </c:pt>
                <c:pt idx="8">
                  <c:v>23.9203864299346</c:v>
                </c:pt>
                <c:pt idx="9">
                  <c:v>23.7207555437752</c:v>
                </c:pt>
                <c:pt idx="10">
                  <c:v>23.5211420197646</c:v>
                </c:pt>
                <c:pt idx="11">
                  <c:v>23.3215466729154</c:v>
                </c:pt>
                <c:pt idx="12">
                  <c:v>23.1219703563395</c:v>
                </c:pt>
                <c:pt idx="13">
                  <c:v>22.9224139630127</c:v>
                </c:pt>
                <c:pt idx="14">
                  <c:v>22.7228784276215</c:v>
                </c:pt>
                <c:pt idx="15">
                  <c:v>22.5233647284922</c:v>
                </c:pt>
                <c:pt idx="16">
                  <c:v>22.3238738896091</c:v>
                </c:pt>
                <c:pt idx="17">
                  <c:v>22.1244069827221</c:v>
                </c:pt>
                <c:pt idx="18">
                  <c:v>21.9249651295516</c:v>
                </c:pt>
                <c:pt idx="19">
                  <c:v>21.7255495040908</c:v>
                </c:pt>
                <c:pt idx="20">
                  <c:v>21.5261613350135</c:v>
                </c:pt>
                <c:pt idx="21">
                  <c:v>21.3268019081882</c:v>
                </c:pt>
                <c:pt idx="22">
                  <c:v>21.127472569306</c:v>
                </c:pt>
                <c:pt idx="23">
                  <c:v>20.928174726625</c:v>
                </c:pt>
                <c:pt idx="24">
                  <c:v>20.7289098538379</c:v>
                </c:pt>
                <c:pt idx="25">
                  <c:v>20.5296794930659</c:v>
                </c:pt>
                <c:pt idx="26">
                  <c:v>20.3304852579856</c:v>
                </c:pt>
                <c:pt idx="27">
                  <c:v>20.1313288370946</c:v>
                </c:pt>
                <c:pt idx="28">
                  <c:v>19.9322119971196</c:v>
                </c:pt>
                <c:pt idx="29">
                  <c:v>19.7331365865748</c:v>
                </c:pt>
                <c:pt idx="30">
                  <c:v>19.5341045394754</c:v>
                </c:pt>
                <c:pt idx="31">
                  <c:v>19.3351178792134</c:v>
                </c:pt>
                <c:pt idx="32">
                  <c:v>19.1361787225999</c:v>
                </c:pt>
                <c:pt idx="33">
                  <c:v>18.9372892840837</c:v>
                </c:pt>
                <c:pt idx="34">
                  <c:v>18.7384518801503</c:v>
                </c:pt>
                <c:pt idx="35">
                  <c:v>18.5396689339088</c:v>
                </c:pt>
                <c:pt idx="36">
                  <c:v>18.3409429798747</c:v>
                </c:pt>
                <c:pt idx="37">
                  <c:v>18.1422766689546</c:v>
                </c:pt>
                <c:pt idx="38">
                  <c:v>17.9436727736415</c:v>
                </c:pt>
                <c:pt idx="39">
                  <c:v>17.7451341934268</c:v>
                </c:pt>
                <c:pt idx="40">
                  <c:v>17.5466639604379</c:v>
                </c:pt>
                <c:pt idx="41">
                  <c:v>17.3482652453085</c:v>
                </c:pt>
                <c:pt idx="42">
                  <c:v>17.1499413632901</c:v>
                </c:pt>
                <c:pt idx="43">
                  <c:v>16.9516957806129</c:v>
                </c:pt>
                <c:pt idx="44">
                  <c:v>16.7535321211023</c:v>
                </c:pt>
                <c:pt idx="45">
                  <c:v>16.5554541730624</c:v>
                </c:pt>
                <c:pt idx="46">
                  <c:v>16.3574658964322</c:v>
                </c:pt>
                <c:pt idx="47">
                  <c:v>16.1595714302236</c:v>
                </c:pt>
                <c:pt idx="48">
                  <c:v>15.9617751002495</c:v>
                </c:pt>
                <c:pt idx="49">
                  <c:v>15.7640814271498</c:v>
                </c:pt>
                <c:pt idx="50">
                  <c:v>15.566495134724</c:v>
                </c:pt>
                <c:pt idx="51">
                  <c:v>15.3690211585769</c:v>
                </c:pt>
                <c:pt idx="52">
                  <c:v>15.1716646550869</c:v>
                </c:pt>
                <c:pt idx="53">
                  <c:v>14.9744310107031</c:v>
                </c:pt>
                <c:pt idx="54">
                  <c:v>14.7773258515782</c:v>
                </c:pt>
                <c:pt idx="55">
                  <c:v>14.5803550535449</c:v>
                </c:pt>
                <c:pt idx="56">
                  <c:v>14.3835247524413</c:v>
                </c:pt>
                <c:pt idx="57">
                  <c:v>14.1868413547908</c:v>
                </c:pt>
                <c:pt idx="58">
                  <c:v>13.9903115488427</c:v>
                </c:pt>
                <c:pt idx="59">
                  <c:v>13.7939423159763</c:v>
                </c:pt>
                <c:pt idx="60">
                  <c:v>13.5977409424727</c:v>
                </c:pt>
                <c:pt idx="61">
                  <c:v>13.4017150316579</c:v>
                </c:pt>
                <c:pt idx="62">
                  <c:v>13.2058725164163</c:v>
                </c:pt>
                <c:pt idx="63">
                  <c:v>13.0102216720763</c:v>
                </c:pt>
                <c:pt idx="64">
                  <c:v>12.8147711296671</c:v>
                </c:pt>
                <c:pt idx="65">
                  <c:v>12.6195298895427</c:v>
                </c:pt>
                <c:pt idx="66">
                  <c:v>12.4245073353693</c:v>
                </c:pt>
                <c:pt idx="67">
                  <c:v>12.2297132484699</c:v>
                </c:pt>
                <c:pt idx="68">
                  <c:v>12.035157822517</c:v>
                </c:pt>
                <c:pt idx="69">
                  <c:v>11.8408516785631</c:v>
                </c:pt>
                <c:pt idx="70">
                  <c:v>11.6468058803952</c:v>
                </c:pt>
                <c:pt idx="71">
                  <c:v>11.4530319501973</c:v>
                </c:pt>
                <c:pt idx="72">
                  <c:v>11.2595418845019</c:v>
                </c:pt>
                <c:pt idx="73">
                  <c:v>11.066348170407</c:v>
                </c:pt>
                <c:pt idx="74">
                  <c:v>10.8734638020338</c:v>
                </c:pt>
                <c:pt idx="75">
                  <c:v>10.6809022971943</c:v>
                </c:pt>
                <c:pt idx="76">
                  <c:v>10.4886777142337</c:v>
                </c:pt>
                <c:pt idx="77">
                  <c:v>10.2968046690112</c:v>
                </c:pt>
                <c:pt idx="78">
                  <c:v>10.1052983519729</c:v>
                </c:pt>
                <c:pt idx="79">
                  <c:v>9.9141745452698</c:v>
                </c:pt>
                <c:pt idx="80">
                  <c:v>9.72344963986605</c:v>
                </c:pt>
                <c:pt idx="81">
                  <c:v>9.53314065257697</c:v>
                </c:pt>
                <c:pt idx="82">
                  <c:v>9.34326524297153</c:v>
                </c:pt>
                <c:pt idx="83">
                  <c:v>9.15384173006479</c:v>
                </c:pt>
                <c:pt idx="84">
                  <c:v>8.96488910872262</c:v>
                </c:pt>
                <c:pt idx="85">
                  <c:v>8.77642706568984</c:v>
                </c:pt>
                <c:pt idx="86">
                  <c:v>8.58847599514888</c:v>
                </c:pt>
                <c:pt idx="87">
                  <c:v>8.40105701370581</c:v>
                </c:pt>
                <c:pt idx="88">
                  <c:v>8.21419197469485</c:v>
                </c:pt>
                <c:pt idx="89">
                  <c:v>8.02790348168158</c:v>
                </c:pt>
                <c:pt idx="90">
                  <c:v>7.84221490103994</c:v>
                </c:pt>
                <c:pt idx="91">
                  <c:v>7.65715037346659</c:v>
                </c:pt>
                <c:pt idx="92">
                  <c:v>7.47273482429025</c:v>
                </c:pt>
                <c:pt idx="93">
                  <c:v>7.28899397242325</c:v>
                </c:pt>
                <c:pt idx="94">
                  <c:v>7.10595433779613</c:v>
                </c:pt>
                <c:pt idx="95">
                  <c:v>6.9236432471065</c:v>
                </c:pt>
                <c:pt idx="96">
                  <c:v>6.74208883770651</c:v>
                </c:pt>
                <c:pt idx="97">
                  <c:v>6.56132005944634</c:v>
                </c:pt>
                <c:pt idx="98">
                  <c:v>6.3813666742838</c:v>
                </c:pt>
                <c:pt idx="99">
                  <c:v>6.20225925346549</c:v>
                </c:pt>
                <c:pt idx="100">
                  <c:v>6.02402917207794</c:v>
                </c:pt>
                <c:pt idx="101">
                  <c:v>5.84670860076707</c:v>
                </c:pt>
                <c:pt idx="102">
                  <c:v>5.67033049441855</c:v>
                </c:pt>
                <c:pt idx="103">
                  <c:v>5.49492857759173</c:v>
                </c:pt>
                <c:pt idx="104">
                  <c:v>5.32053732650217</c:v>
                </c:pt>
                <c:pt idx="105">
                  <c:v>5.14719194734825</c:v>
                </c:pt>
                <c:pt idx="106">
                  <c:v>4.97492835078432</c:v>
                </c:pt>
                <c:pt idx="107">
                  <c:v>4.80378312234836</c:v>
                </c:pt>
                <c:pt idx="108">
                  <c:v>4.63379348866293</c:v>
                </c:pt>
                <c:pt idx="109">
                  <c:v>4.46499727924158</c:v>
                </c:pt>
                <c:pt idx="110">
                  <c:v>4.29743288374594</c:v>
                </c:pt>
                <c:pt idx="111">
                  <c:v>4.13113920455956</c:v>
                </c:pt>
                <c:pt idx="112">
                  <c:v>3.9661556045668</c:v>
                </c:pt>
                <c:pt idx="113">
                  <c:v>3.80252185004717</c:v>
                </c:pt>
                <c:pt idx="114">
                  <c:v>3.64027804862849</c:v>
                </c:pt>
                <c:pt idx="115">
                  <c:v>3.4794645822701</c:v>
                </c:pt>
                <c:pt idx="116">
                  <c:v>3.32012203528742</c:v>
                </c:pt>
                <c:pt idx="117">
                  <c:v>3.16229111746194</c:v>
                </c:pt>
                <c:pt idx="118">
                  <c:v>3.0060125823298</c:v>
                </c:pt>
                <c:pt idx="119">
                  <c:v>2.85132714078007</c:v>
                </c:pt>
                <c:pt idx="120">
                  <c:v>2.69827537014682</c:v>
                </c:pt>
                <c:pt idx="121">
                  <c:v>2.54689761902387</c:v>
                </c:pt>
                <c:pt idx="122">
                  <c:v>2.397233908087</c:v>
                </c:pt>
                <c:pt idx="123">
                  <c:v>2.24932382725709</c:v>
                </c:pt>
                <c:pt idx="124">
                  <c:v>2.10320642959306</c:v>
                </c:pt>
                <c:pt idx="125">
                  <c:v>1.95892012235452</c:v>
                </c:pt>
                <c:pt idx="126">
                  <c:v>1.81650255572868</c:v>
                </c:pt>
                <c:pt idx="127">
                  <c:v>1.67599050976302</c:v>
                </c:pt>
                <c:pt idx="128">
                  <c:v>1.53741978009471</c:v>
                </c:pt>
                <c:pt idx="129">
                  <c:v>1.40082506311206</c:v>
                </c:pt>
                <c:pt idx="130">
                  <c:v>1.26623984122119</c:v>
                </c:pt>
                <c:pt idx="131">
                  <c:v>1.13369626892763</c:v>
                </c:pt>
                <c:pt idx="132">
                  <c:v>1.00322506046805</c:v>
                </c:pt>
                <c:pt idx="133">
                  <c:v>0.874855379751248</c:v>
                </c:pt>
                <c:pt idx="134">
                  <c:v>0.748614733378293</c:v>
                </c:pt>
                <c:pt idx="135">
                  <c:v>0.624528867518178</c:v>
                </c:pt>
                <c:pt idx="136">
                  <c:v>0.50262166941051</c:v>
                </c:pt>
                <c:pt idx="137">
                  <c:v>0.382915074254565</c:v>
                </c:pt>
                <c:pt idx="138">
                  <c:v>0.265428978219025</c:v>
                </c:pt>
                <c:pt idx="139">
                  <c:v>0.150181158276966</c:v>
                </c:pt>
                <c:pt idx="140">
                  <c:v>0.0371871995260381</c:v>
                </c:pt>
                <c:pt idx="141">
                  <c:v>-0.0735395693947445</c:v>
                </c:pt>
                <c:pt idx="142">
                  <c:v>-0.181988132242867</c:v>
                </c:pt>
                <c:pt idx="143">
                  <c:v>-0.288149831980557</c:v>
                </c:pt>
                <c:pt idx="144">
                  <c:v>-0.392018408047316</c:v>
                </c:pt>
                <c:pt idx="145">
                  <c:v>-0.493590023768823</c:v>
                </c:pt>
                <c:pt idx="146">
                  <c:v>-0.592863283662289</c:v>
                </c:pt>
                <c:pt idx="147">
                  <c:v>-0.689839240486785</c:v>
                </c:pt>
                <c:pt idx="148">
                  <c:v>-0.784521391979352</c:v>
                </c:pt>
                <c:pt idx="149">
                  <c:v>-0.876915667311017</c:v>
                </c:pt>
                <c:pt idx="150">
                  <c:v>-0.967030403387998</c:v>
                </c:pt>
                <c:pt idx="151">
                  <c:v>-1.05487631121592</c:v>
                </c:pt>
                <c:pt idx="152">
                  <c:v>-1.14046643262956</c:v>
                </c:pt>
                <c:pt idx="153">
                  <c:v>-1.22381608777505</c:v>
                </c:pt>
                <c:pt idx="154">
                  <c:v>-1.30494281380746</c:v>
                </c:pt>
                <c:pt idx="155">
                  <c:v>-1.38386629533697</c:v>
                </c:pt>
                <c:pt idx="156">
                  <c:v>-1.46060828721864</c:v>
                </c:pt>
                <c:pt idx="157">
                  <c:v>-1.5351925303348</c:v>
                </c:pt>
                <c:pt idx="158">
                  <c:v>-1.60764466106391</c:v>
                </c:pt>
                <c:pt idx="159">
                  <c:v>-1.67799211516451</c:v>
                </c:pt>
                <c:pt idx="160">
                  <c:v>-1.74626402682948</c:v>
                </c:pt>
                <c:pt idx="161">
                  <c:v>-1.81249112368068</c:v>
                </c:pt>
                <c:pt idx="162">
                  <c:v>-1.87670561848205</c:v>
                </c:pt>
                <c:pt idx="163">
                  <c:v>-1.93894109834668</c:v>
                </c:pt>
                <c:pt idx="164">
                  <c:v>-1.99923241220115</c:v>
                </c:pt>
                <c:pt idx="165">
                  <c:v>-2.05761555725402</c:v>
                </c:pt>
                <c:pt idx="166">
                  <c:v>-2.11412756518691</c:v>
                </c:pt>
                <c:pt idx="167">
                  <c:v>-2.16880638875601</c:v>
                </c:pt>
                <c:pt idx="168">
                  <c:v>-2.22169078945186</c:v>
                </c:pt>
                <c:pt idx="169">
                  <c:v>-2.27282022682511</c:v>
                </c:pt>
                <c:pt idx="170">
                  <c:v>-2.3222347500361</c:v>
                </c:pt>
                <c:pt idx="171">
                  <c:v>-2.3699748921396</c:v>
                </c:pt>
                <c:pt idx="172">
                  <c:v>-2.41608156756316</c:v>
                </c:pt>
                <c:pt idx="173">
                  <c:v>-2.46059597318492</c:v>
                </c:pt>
                <c:pt idx="174">
                  <c:v>-2.50355949336444</c:v>
                </c:pt>
                <c:pt idx="175">
                  <c:v>-2.54501360922649</c:v>
                </c:pt>
                <c:pt idx="176">
                  <c:v>-2.58499981244764</c:v>
                </c:pt>
                <c:pt idx="177">
                  <c:v>-2.62355952374372</c:v>
                </c:pt>
                <c:pt idx="178">
                  <c:v>-2.66073401620897</c:v>
                </c:pt>
                <c:pt idx="179">
                  <c:v>-2.69656434361345</c:v>
                </c:pt>
                <c:pt idx="180">
                  <c:v>-2.73109127371994</c:v>
                </c:pt>
                <c:pt idx="181">
                  <c:v>-2.76435522664443</c:v>
                </c:pt>
                <c:pt idx="182">
                  <c:v>-2.79639621824689</c:v>
                </c:pt>
                <c:pt idx="183">
                  <c:v>-2.8272538085062</c:v>
                </c:pt>
                <c:pt idx="184">
                  <c:v>-2.85696705480296</c:v>
                </c:pt>
                <c:pt idx="185">
                  <c:v>-2.88557447000972</c:v>
                </c:pt>
                <c:pt idx="186">
                  <c:v>-2.91311398526267</c:v>
                </c:pt>
                <c:pt idx="187">
                  <c:v>-2.93962291727242</c:v>
                </c:pt>
                <c:pt idx="188">
                  <c:v>-2.96513794001222</c:v>
                </c:pt>
                <c:pt idx="189">
                  <c:v>-2.9896950606112</c:v>
                </c:pt>
                <c:pt idx="190">
                  <c:v>-3.01332959926843</c:v>
                </c:pt>
                <c:pt idx="191">
                  <c:v>-3.03607617299592</c:v>
                </c:pt>
                <c:pt idx="192">
                  <c:v>-3.0579686829931</c:v>
                </c:pt>
                <c:pt idx="193">
                  <c:v>-3.07904030545389</c:v>
                </c:pt>
                <c:pt idx="194">
                  <c:v>-3.09932348560211</c:v>
                </c:pt>
                <c:pt idx="195">
                  <c:v>-3.11884993475747</c:v>
                </c:pt>
                <c:pt idx="196">
                  <c:v>-3.13765063023045</c:v>
                </c:pt>
                <c:pt idx="197">
                  <c:v>-3.15575581785225</c:v>
                </c:pt>
                <c:pt idx="198">
                  <c:v>-3.1731950169493</c:v>
                </c:pt>
                <c:pt idx="199">
                  <c:v>-3.18999702757561</c:v>
                </c:pt>
                <c:pt idx="200">
                  <c:v>-3.20618993982762</c:v>
                </c:pt>
                <c:pt idx="201">
                  <c:v>-3.22180114506647</c:v>
                </c:pt>
                <c:pt idx="202">
                  <c:v>-3.2368573488873</c:v>
                </c:pt>
                <c:pt idx="203">
                  <c:v>-3.2513845856785</c:v>
                </c:pt>
                <c:pt idx="204">
                  <c:v>-3.26540823462403</c:v>
                </c:pt>
                <c:pt idx="205">
                  <c:v>-3.27895303701052</c:v>
                </c:pt>
                <c:pt idx="206">
                  <c:v>-3.29204311470897</c:v>
                </c:pt>
                <c:pt idx="207">
                  <c:v>-3.3047019897094</c:v>
                </c:pt>
                <c:pt idx="208">
                  <c:v>-3.31695260459642</c:v>
                </c:pt>
                <c:pt idx="209">
                  <c:v>-3.32881734385998</c:v>
                </c:pt>
                <c:pt idx="210">
                  <c:v>-3.34031805594571</c:v>
                </c:pt>
                <c:pt idx="211">
                  <c:v>-3.35147607595667</c:v>
                </c:pt>
                <c:pt idx="212">
                  <c:v>-3.36231224892432</c:v>
                </c:pt>
                <c:pt idx="213">
                  <c:v>-3.37284695357687</c:v>
                </c:pt>
                <c:pt idx="214">
                  <c:v>-3.38310012653698</c:v>
                </c:pt>
                <c:pt idx="215">
                  <c:v>-3.39309128688997</c:v>
                </c:pt>
                <c:pt idx="216">
                  <c:v>-3.40283956106821</c:v>
                </c:pt>
                <c:pt idx="217">
                  <c:v>-3.41236370800402</c:v>
                </c:pt>
                <c:pt idx="218">
                  <c:v>-3.42168214450923</c:v>
                </c:pt>
                <c:pt idx="219">
                  <c:v>-3.4308129708437</c:v>
                </c:pt>
                <c:pt idx="220">
                  <c:v>-3.43977399644033</c:v>
                </c:pt>
                <c:pt idx="221">
                  <c:v>-3.44858276575928</c:v>
                </c:pt>
                <c:pt idx="222">
                  <c:v>-3.45725658424621</c:v>
                </c:pt>
                <c:pt idx="223">
                  <c:v>-3.46581254437457</c:v>
                </c:pt>
                <c:pt idx="224">
                  <c:v>-3.47426755175502</c:v>
                </c:pt>
                <c:pt idx="225">
                  <c:v>-3.48263835129641</c:v>
                </c:pt>
                <c:pt idx="226">
                  <c:v>-3.49094155340741</c:v>
                </c:pt>
                <c:pt idx="227">
                  <c:v>-3.49919366022822</c:v>
                </c:pt>
                <c:pt idx="228">
                  <c:v>-3.50741109188477</c:v>
                </c:pt>
                <c:pt idx="229">
                  <c:v>-3.51561021275802</c:v>
                </c:pt>
                <c:pt idx="230">
                  <c:v>-3.52380735776395</c:v>
                </c:pt>
                <c:pt idx="231">
                  <c:v>-3.53201885863748</c:v>
                </c:pt>
                <c:pt idx="232">
                  <c:v>-3.54026107021835</c:v>
                </c:pt>
                <c:pt idx="233">
                  <c:v>-3.54855039673166</c:v>
                </c:pt>
                <c:pt idx="234">
                  <c:v>-3.55690331806065</c:v>
                </c:pt>
                <c:pt idx="235">
                  <c:v>-3.56533641600485</c:v>
                </c:pt>
                <c:pt idx="236">
                  <c:v>-3.57386640051839</c:v>
                </c:pt>
                <c:pt idx="237">
                  <c:v>-3.58251013591908</c:v>
                </c:pt>
                <c:pt idx="238">
                  <c:v>-3.59128466706099</c:v>
                </c:pt>
                <c:pt idx="239">
                  <c:v>-3.60020724545683</c:v>
                </c:pt>
                <c:pt idx="240">
                  <c:v>-3.60929535533858</c:v>
                </c:pt>
                <c:pt idx="241">
                  <c:v>-3.61856673963736</c:v>
                </c:pt>
                <c:pt idx="242">
                  <c:v>-3.62803942586522</c:v>
                </c:pt>
                <c:pt idx="243">
                  <c:v>-3.63773175187355</c:v>
                </c:pt>
                <c:pt idx="244">
                  <c:v>-3.64766239146273</c:v>
                </c:pt>
                <c:pt idx="245">
                  <c:v>-3.65785037981011</c:v>
                </c:pt>
                <c:pt idx="246">
                  <c:v>-3.66831513868172</c:v>
                </c:pt>
                <c:pt idx="247">
                  <c:v>-3.67907650138587</c:v>
                </c:pt>
                <c:pt idx="248">
                  <c:v>-3.69015473742228</c:v>
                </c:pt>
                <c:pt idx="249">
                  <c:v>-3.7015705767752</c:v>
                </c:pt>
                <c:pt idx="250">
                  <c:v>-3.71334523379082</c:v>
                </c:pt>
                <c:pt idx="251">
                  <c:v>-3.72550043057579</c:v>
                </c:pt>
                <c:pt idx="252">
                  <c:v>-3.73805841984342</c:v>
                </c:pt>
                <c:pt idx="253">
                  <c:v>-3.75104200712955</c:v>
                </c:pt>
                <c:pt idx="254">
                  <c:v>-3.76447457229113</c:v>
                </c:pt>
                <c:pt idx="255">
                  <c:v>-3.77838009019249</c:v>
                </c:pt>
                <c:pt idx="256">
                  <c:v>-3.79278315047869</c:v>
                </c:pt>
                <c:pt idx="257">
                  <c:v>-3.80770897632198</c:v>
                </c:pt>
                <c:pt idx="258">
                  <c:v>-3.82318344202534</c:v>
                </c:pt>
                <c:pt idx="259">
                  <c:v>-3.83923308935266</c:v>
                </c:pt>
                <c:pt idx="260">
                  <c:v>-3.85588514245056</c:v>
                </c:pt>
                <c:pt idx="261">
                  <c:v>-3.8731675212161</c:v>
                </c:pt>
                <c:pt idx="262">
                  <c:v>-3.89110885295706</c:v>
                </c:pt>
                <c:pt idx="263">
                  <c:v>-3.90973848218353</c:v>
                </c:pt>
                <c:pt idx="264">
                  <c:v>-3.92908647836029</c:v>
                </c:pt>
                <c:pt idx="265">
                  <c:v>-3.94918364144462</c:v>
                </c:pt>
                <c:pt idx="266">
                  <c:v>-3.97006150502498</c:v>
                </c:pt>
                <c:pt idx="267">
                  <c:v>-3.99175233687174</c:v>
                </c:pt>
                <c:pt idx="268">
                  <c:v>-4.01428913670529</c:v>
                </c:pt>
                <c:pt idx="269">
                  <c:v>-4.03770563098398</c:v>
                </c:pt>
                <c:pt idx="270">
                  <c:v>-4.06203626451029</c:v>
                </c:pt>
                <c:pt idx="271">
                  <c:v>-4.087316188655</c:v>
                </c:pt>
                <c:pt idx="272">
                  <c:v>-4.11358124599703</c:v>
                </c:pt>
                <c:pt idx="273">
                  <c:v>-4.14086795118202</c:v>
                </c:pt>
                <c:pt idx="274">
                  <c:v>-4.16921346780587</c:v>
                </c:pt>
                <c:pt idx="275">
                  <c:v>-4.19865558113701</c:v>
                </c:pt>
                <c:pt idx="276">
                  <c:v>-4.22923266650178</c:v>
                </c:pt>
                <c:pt idx="277">
                  <c:v>-4.26098365316847</c:v>
                </c:pt>
                <c:pt idx="278">
                  <c:v>-4.2939479835826</c:v>
                </c:pt>
                <c:pt idx="279">
                  <c:v>-4.3281655678237</c:v>
                </c:pt>
                <c:pt idx="280">
                  <c:v>-4.36367673317583</c:v>
                </c:pt>
                <c:pt idx="281">
                  <c:v>-4.40052216872993</c:v>
                </c:pt>
                <c:pt idx="282">
                  <c:v>-4.43874286496414</c:v>
                </c:pt>
                <c:pt idx="283">
                  <c:v>-4.47838004828101</c:v>
                </c:pt>
                <c:pt idx="284">
                  <c:v>-4.51947511051487</c:v>
                </c:pt>
                <c:pt idx="285">
                  <c:v>-4.56206953346341</c:v>
                </c:pt>
                <c:pt idx="286">
                  <c:v>-4.6062048085371</c:v>
                </c:pt>
                <c:pt idx="287">
                  <c:v>-4.65192235166693</c:v>
                </c:pt>
                <c:pt idx="288">
                  <c:v>-4.69926341365713</c:v>
                </c:pt>
                <c:pt idx="289">
                  <c:v>-4.74826898621967</c:v>
                </c:pt>
                <c:pt idx="290">
                  <c:v>-4.79897970397848</c:v>
                </c:pt>
                <c:pt idx="291">
                  <c:v>-4.85143574278317</c:v>
                </c:pt>
                <c:pt idx="292">
                  <c:v>-4.90567671472725</c:v>
                </c:pt>
                <c:pt idx="293">
                  <c:v>-4.96174156031444</c:v>
                </c:pt>
                <c:pt idx="294">
                  <c:v>-5.01966843827292</c:v>
                </c:pt>
                <c:pt idx="295">
                  <c:v>-5.07949461356485</c:v>
                </c:pt>
                <c:pt idx="296">
                  <c:v>-5.14125634418564</c:v>
                </c:pt>
                <c:pt idx="297">
                  <c:v>-5.20498876739302</c:v>
                </c:pt>
                <c:pt idx="298">
                  <c:v>-5.27072578604332</c:v>
                </c:pt>
                <c:pt idx="299">
                  <c:v>-5.33849995574723</c:v>
                </c:pt>
                <c:pt idx="300">
                  <c:v>-5.40834237358602</c:v>
                </c:pt>
                <c:pt idx="301">
                  <c:v>-5.48028256914677</c:v>
                </c:pt>
                <c:pt idx="302">
                  <c:v>-5.55434839865188</c:v>
                </c:pt>
                <c:pt idx="303">
                  <c:v>-5.63056594295943</c:v>
                </c:pt>
                <c:pt idx="304">
                  <c:v>-5.70895941020861</c:v>
                </c:pt>
                <c:pt idx="305">
                  <c:v>-5.78955104386885</c:v>
                </c:pt>
                <c:pt idx="306">
                  <c:v>-5.87236103692902</c:v>
                </c:pt>
                <c:pt idx="307">
                  <c:v>-5.95740745293019</c:v>
                </c:pt>
                <c:pt idx="308">
                  <c:v>-6.04470615450189</c:v>
                </c:pt>
                <c:pt idx="309">
                  <c:v>-6.13427074001168</c:v>
                </c:pt>
                <c:pt idx="310">
                  <c:v>-6.22611248887574</c:v>
                </c:pt>
                <c:pt idx="311">
                  <c:v>-6.32024031601242</c:v>
                </c:pt>
                <c:pt idx="312">
                  <c:v>-6.41666073584382</c:v>
                </c:pt>
                <c:pt idx="313">
                  <c:v>-6.51537783616863</c:v>
                </c:pt>
                <c:pt idx="314">
                  <c:v>-6.61639326214576</c:v>
                </c:pt>
                <c:pt idx="315">
                  <c:v>-6.7197062105358</c:v>
                </c:pt>
                <c:pt idx="316">
                  <c:v>-6.82531343425721</c:v>
                </c:pt>
                <c:pt idx="317">
                  <c:v>-6.93320925722022</c:v>
                </c:pt>
                <c:pt idx="318">
                  <c:v>-7.04338559930945</c:v>
                </c:pt>
                <c:pt idx="319">
                  <c:v>-7.15583201129554</c:v>
                </c:pt>
                <c:pt idx="320">
                  <c:v>-7.27053571937094</c:v>
                </c:pt>
                <c:pt idx="321">
                  <c:v>-7.3874816789193</c:v>
                </c:pt>
                <c:pt idx="322">
                  <c:v>-7.50665263705448</c:v>
                </c:pt>
                <c:pt idx="323">
                  <c:v>-7.62802920339483</c:v>
                </c:pt>
                <c:pt idx="324">
                  <c:v>-7.75158992847546</c:v>
                </c:pt>
                <c:pt idx="325">
                  <c:v>-7.87731138915011</c:v>
                </c:pt>
                <c:pt idx="326">
                  <c:v>-8.00516828028678</c:v>
                </c:pt>
                <c:pt idx="327">
                  <c:v>-8.13513351203061</c:v>
                </c:pt>
                <c:pt idx="328">
                  <c:v>-8.26717831187887</c:v>
                </c:pt>
                <c:pt idx="329">
                  <c:v>-8.40127233079871</c:v>
                </c:pt>
                <c:pt idx="330">
                  <c:v>-8.53738375261267</c:v>
                </c:pt>
                <c:pt idx="331">
                  <c:v>-8.67547940587706</c:v>
                </c:pt>
                <c:pt idx="332">
                  <c:v>-8.81552487749496</c:v>
                </c:pt>
                <c:pt idx="333">
                  <c:v>-8.95748462731755</c:v>
                </c:pt>
                <c:pt idx="334">
                  <c:v>-9.10132210302105</c:v>
                </c:pt>
                <c:pt idx="335">
                  <c:v>-9.24699985457418</c:v>
                </c:pt>
                <c:pt idx="336">
                  <c:v>-9.39447964765261</c:v>
                </c:pt>
                <c:pt idx="337">
                  <c:v>-9.54372257539828</c:v>
                </c:pt>
                <c:pt idx="338">
                  <c:v>-9.69468916796869</c:v>
                </c:pt>
                <c:pt idx="339">
                  <c:v>-9.84733949937177</c:v>
                </c:pt>
                <c:pt idx="340">
                  <c:v>-10.0016332911314</c:v>
                </c:pt>
                <c:pt idx="341">
                  <c:v>-10.1575300123839</c:v>
                </c:pt>
                <c:pt idx="342">
                  <c:v>-10.314988976057</c:v>
                </c:pt>
                <c:pt idx="343">
                  <c:v>-10.4739694308363</c:v>
                </c:pt>
                <c:pt idx="344">
                  <c:v>-10.6344306486758</c:v>
                </c:pt>
                <c:pt idx="345">
                  <c:v>-10.7963320076589</c:v>
                </c:pt>
                <c:pt idx="346">
                  <c:v>-10.9596330700646</c:v>
                </c:pt>
                <c:pt idx="347">
                  <c:v>-11.1242936555388</c:v>
                </c:pt>
                <c:pt idx="348">
                  <c:v>-11.2902739093126</c:v>
                </c:pt>
                <c:pt idx="349">
                  <c:v>-11.4575343654517</c:v>
                </c:pt>
                <c:pt idx="350">
                  <c:v>-11.6260360051525</c:v>
                </c:pt>
                <c:pt idx="351">
                  <c:v>-11.7957403101395</c:v>
                </c:pt>
                <c:pt idx="352">
                  <c:v>-11.9666093112416</c:v>
                </c:pt>
                <c:pt idx="353">
                  <c:v>-12.1386056322571</c:v>
                </c:pt>
                <c:pt idx="354">
                  <c:v>-12.3116925292351</c:v>
                </c:pt>
                <c:pt idx="355">
                  <c:v>-12.4858339253227</c:v>
                </c:pt>
                <c:pt idx="356">
                  <c:v>-12.6609944413446</c:v>
                </c:pt>
                <c:pt idx="357">
                  <c:v>-12.8371394222909</c:v>
                </c:pt>
                <c:pt idx="358">
                  <c:v>-13.0142349599062</c:v>
                </c:pt>
                <c:pt idx="359">
                  <c:v>-13.1922479115727</c:v>
                </c:pt>
                <c:pt idx="360">
                  <c:v>-13.3711459156924</c:v>
                </c:pt>
                <c:pt idx="361">
                  <c:v>-13.5508974037741</c:v>
                </c:pt>
                <c:pt idx="362">
                  <c:v>-13.7314716094302</c:v>
                </c:pt>
                <c:pt idx="363">
                  <c:v>-13.912838574492</c:v>
                </c:pt>
                <c:pt idx="364">
                  <c:v>-14.0949691524465</c:v>
                </c:pt>
                <c:pt idx="365">
                  <c:v>-14.2778350093964</c:v>
                </c:pt>
                <c:pt idx="366">
                  <c:v>-14.4614086227398</c:v>
                </c:pt>
                <c:pt idx="367">
                  <c:v>-14.6456632777602</c:v>
                </c:pt>
                <c:pt idx="368">
                  <c:v>-14.8305730623115</c:v>
                </c:pt>
                <c:pt idx="369">
                  <c:v>-15.0161128597764</c:v>
                </c:pt>
                <c:pt idx="370">
                  <c:v>-15.2022583404659</c:v>
                </c:pt>
                <c:pt idx="371">
                  <c:v>-15.3889859516252</c:v>
                </c:pt>
                <c:pt idx="372">
                  <c:v>-15.5762729061972</c:v>
                </c:pt>
                <c:pt idx="373">
                  <c:v>-15.7640971704895</c:v>
                </c:pt>
                <c:pt idx="374">
                  <c:v>-15.9524374508845</c:v>
                </c:pt>
                <c:pt idx="375">
                  <c:v>-16.1412731797165</c:v>
                </c:pt>
                <c:pt idx="376">
                  <c:v>-16.3305845004407</c:v>
                </c:pt>
                <c:pt idx="377">
                  <c:v>-16.5203522522041</c:v>
                </c:pt>
                <c:pt idx="378">
                  <c:v>-16.7105579539204</c:v>
                </c:pt>
                <c:pt idx="379">
                  <c:v>-16.9011837879499</c:v>
                </c:pt>
                <c:pt idx="380">
                  <c:v>-17.0922125834681</c:v>
                </c:pt>
                <c:pt idx="381">
                  <c:v>-17.2836277996074</c:v>
                </c:pt>
                <c:pt idx="382">
                  <c:v>-17.4754135084457</c:v>
                </c:pt>
                <c:pt idx="383">
                  <c:v>-17.6675543779089</c:v>
                </c:pt>
                <c:pt idx="384">
                  <c:v>-17.8600356546509</c:v>
                </c:pt>
                <c:pt idx="385">
                  <c:v>-18.0528431469641</c:v>
                </c:pt>
                <c:pt idx="386">
                  <c:v>-18.2459632077729</c:v>
                </c:pt>
                <c:pt idx="387">
                  <c:v>-18.4393827177537</c:v>
                </c:pt>
                <c:pt idx="388">
                  <c:v>-18.6330890686221</c:v>
                </c:pt>
                <c:pt idx="389">
                  <c:v>-18.8270701466208</c:v>
                </c:pt>
                <c:pt idx="390">
                  <c:v>-19.0213143162422</c:v>
                </c:pt>
                <c:pt idx="391">
                  <c:v>-19.215810404211</c:v>
                </c:pt>
                <c:pt idx="392">
                  <c:v>-19.4105476837485</c:v>
                </c:pt>
                <c:pt idx="393">
                  <c:v>-19.6055158591434</c:v>
                </c:pt>
                <c:pt idx="394">
                  <c:v>-19.8007050506406</c:v>
                </c:pt>
                <c:pt idx="395">
                  <c:v>-19.996105779666</c:v>
                </c:pt>
                <c:pt idx="396">
                  <c:v>-20.1917089543971</c:v>
                </c:pt>
                <c:pt idx="397">
                  <c:v>-20.3875058556878</c:v>
                </c:pt>
                <c:pt idx="398">
                  <c:v>-20.5834881233565</c:v>
                </c:pt>
                <c:pt idx="399">
                  <c:v>-20.7796477428399</c:v>
                </c:pt>
                <c:pt idx="400">
                  <c:v>-20.9759770322177</c:v>
                </c:pt>
                <c:pt idx="401">
                  <c:v>-21.1724686296086</c:v>
                </c:pt>
                <c:pt idx="402">
                  <c:v>-21.3691154809377</c:v>
                </c:pt>
                <c:pt idx="403">
                  <c:v>-21.5659108280753</c:v>
                </c:pt>
                <c:pt idx="404">
                  <c:v>-21.7628481973439</c:v>
                </c:pt>
                <c:pt idx="405">
                  <c:v>-21.9599213883901</c:v>
                </c:pt>
                <c:pt idx="406">
                  <c:v>-22.1571244634179</c:v>
                </c:pt>
                <c:pt idx="407">
                  <c:v>-22.3544517367775</c:v>
                </c:pt>
                <c:pt idx="408">
                  <c:v>-22.5518977649058</c:v>
                </c:pt>
                <c:pt idx="409">
                  <c:v>-22.7494573366104</c:v>
                </c:pt>
                <c:pt idx="410">
                  <c:v>-22.9471254636919</c:v>
                </c:pt>
                <c:pt idx="411">
                  <c:v>-23.144897371897</c:v>
                </c:pt>
                <c:pt idx="412">
                  <c:v>-23.3427684921952</c:v>
                </c:pt>
                <c:pt idx="413">
                  <c:v>-23.5407344523714</c:v>
                </c:pt>
                <c:pt idx="414">
                  <c:v>-23.7387910689258</c:v>
                </c:pt>
                <c:pt idx="415">
                  <c:v>-23.9369343392751</c:v>
                </c:pt>
                <c:pt idx="416">
                  <c:v>-24.1351604342449</c:v>
                </c:pt>
                <c:pt idx="417">
                  <c:v>-24.3334656908456</c:v>
                </c:pt>
                <c:pt idx="418">
                  <c:v>-24.5318466053246</c:v>
                </c:pt>
                <c:pt idx="419">
                  <c:v>-24.7302998264851</c:v>
                </c:pt>
                <c:pt idx="420">
                  <c:v>-24.9288221492641</c:v>
                </c:pt>
                <c:pt idx="421">
                  <c:v>-25.1274105085619</c:v>
                </c:pt>
                <c:pt idx="422">
                  <c:v>-25.3260619733135</c:v>
                </c:pt>
                <c:pt idx="423">
                  <c:v>-25.5247737407963</c:v>
                </c:pt>
                <c:pt idx="424">
                  <c:v>-25.7235431311628</c:v>
                </c:pt>
                <c:pt idx="425">
                  <c:v>-25.9223675821948</c:v>
                </c:pt>
                <c:pt idx="426">
                  <c:v>-26.121244644268</c:v>
                </c:pt>
                <c:pt idx="427">
                  <c:v>-26.3201719755211</c:v>
                </c:pt>
                <c:pt idx="428">
                  <c:v>-26.5191473372218</c:v>
                </c:pt>
                <c:pt idx="429">
                  <c:v>-26.7181685893234</c:v>
                </c:pt>
                <c:pt idx="430">
                  <c:v>-26.9172336862031</c:v>
                </c:pt>
                <c:pt idx="431">
                  <c:v>-27.116340672577</c:v>
                </c:pt>
                <c:pt idx="432">
                  <c:v>-27.3154876795856</c:v>
                </c:pt>
                <c:pt idx="433">
                  <c:v>-27.514672921041</c:v>
                </c:pt>
                <c:pt idx="434">
                  <c:v>-27.7138946898317</c:v>
                </c:pt>
                <c:pt idx="435">
                  <c:v>-27.9131513544784</c:v>
                </c:pt>
                <c:pt idx="436">
                  <c:v>-28.1124413558348</c:v>
                </c:pt>
                <c:pt idx="437">
                  <c:v>-28.3117632039273</c:v>
                </c:pt>
                <c:pt idx="438">
                  <c:v>-28.5111154749299</c:v>
                </c:pt>
                <c:pt idx="439">
                  <c:v>-28.7104968082658</c:v>
                </c:pt>
                <c:pt idx="440">
                  <c:v>-28.9099059038342</c:v>
                </c:pt>
                <c:pt idx="441">
                  <c:v>-29.1093415193546</c:v>
                </c:pt>
                <c:pt idx="442">
                  <c:v>-29.3088024678252</c:v>
                </c:pt>
                <c:pt idx="443">
                  <c:v>-29.5082876150904</c:v>
                </c:pt>
                <c:pt idx="444">
                  <c:v>-29.7077958775126</c:v>
                </c:pt>
                <c:pt idx="445">
                  <c:v>-29.9073262197447</c:v>
                </c:pt>
                <c:pt idx="446">
                  <c:v>-30.1068776525993</c:v>
                </c:pt>
                <c:pt idx="447">
                  <c:v>-30.3064492310089</c:v>
                </c:pt>
                <c:pt idx="448">
                  <c:v>-30.5060400520754</c:v>
                </c:pt>
                <c:pt idx="449">
                  <c:v>-30.7056492532049</c:v>
                </c:pt>
                <c:pt idx="450">
                  <c:v>-30.9052760103217</c:v>
                </c:pt>
                <c:pt idx="451">
                  <c:v>-31.1049195361625</c:v>
                </c:pt>
                <c:pt idx="452">
                  <c:v>-31.3045790786431</c:v>
                </c:pt>
                <c:pt idx="453">
                  <c:v>-31.5042539192977</c:v>
                </c:pt>
                <c:pt idx="454">
                  <c:v>-31.703943371786</c:v>
                </c:pt>
                <c:pt idx="455">
                  <c:v>-31.9036467804656</c:v>
                </c:pt>
                <c:pt idx="456">
                  <c:v>-32.1033635190276</c:v>
                </c:pt>
                <c:pt idx="457">
                  <c:v>-32.3030929891916</c:v>
                </c:pt>
                <c:pt idx="458">
                  <c:v>-32.5028346194581</c:v>
                </c:pt>
                <c:pt idx="459">
                  <c:v>-32.7025878639159</c:v>
                </c:pt>
                <c:pt idx="460">
                  <c:v>-32.9023522011026</c:v>
                </c:pt>
                <c:pt idx="461">
                  <c:v>-33.1021271329145</c:v>
                </c:pt>
                <c:pt idx="462">
                  <c:v>-33.3019121835651</c:v>
                </c:pt>
                <c:pt idx="463">
                  <c:v>-33.5017068985898</c:v>
                </c:pt>
                <c:pt idx="464">
                  <c:v>-33.7015108438936</c:v>
                </c:pt>
                <c:pt idx="465">
                  <c:v>-33.9013236048427</c:v>
                </c:pt>
                <c:pt idx="466">
                  <c:v>-34.1011447853947</c:v>
                </c:pt>
                <c:pt idx="467">
                  <c:v>-34.3009740072681</c:v>
                </c:pt>
                <c:pt idx="468">
                  <c:v>-34.5008109091487</c:v>
                </c:pt>
                <c:pt idx="469">
                  <c:v>-34.7006551459308</c:v>
                </c:pt>
                <c:pt idx="470">
                  <c:v>-34.9005063879927</c:v>
                </c:pt>
                <c:pt idx="471">
                  <c:v>-35.1003643205038</c:v>
                </c:pt>
                <c:pt idx="472">
                  <c:v>-35.300228642763</c:v>
                </c:pt>
                <c:pt idx="473">
                  <c:v>-35.500099067566</c:v>
                </c:pt>
                <c:pt idx="474">
                  <c:v>-35.6999753206014</c:v>
                </c:pt>
                <c:pt idx="475">
                  <c:v>-35.8998571398732</c:v>
                </c:pt>
                <c:pt idx="476">
                  <c:v>-36.099744275149</c:v>
                </c:pt>
                <c:pt idx="477">
                  <c:v>-36.2996364874337</c:v>
                </c:pt>
                <c:pt idx="478">
                  <c:v>-36.4995335484652</c:v>
                </c:pt>
                <c:pt idx="479">
                  <c:v>-36.6994352402337</c:v>
                </c:pt>
                <c:pt idx="480">
                  <c:v>-36.8993413545223</c:v>
                </c:pt>
                <c:pt idx="481">
                  <c:v>-37.0992516924676</c:v>
                </c:pt>
                <c:pt idx="482">
                  <c:v>-37.2991660641406</c:v>
                </c:pt>
                <c:pt idx="483">
                  <c:v>-37.4990842881456</c:v>
                </c:pt>
                <c:pt idx="484">
                  <c:v>-37.6990061912381</c:v>
                </c:pt>
                <c:pt idx="485">
                  <c:v>-37.8989316079582</c:v>
                </c:pt>
                <c:pt idx="486">
                  <c:v>-38.0988603802822</c:v>
                </c:pt>
                <c:pt idx="487">
                  <c:v>-38.2987923572881</c:v>
                </c:pt>
                <c:pt idx="488">
                  <c:v>-38.4987273948377</c:v>
                </c:pt>
                <c:pt idx="489">
                  <c:v>-38.6986653552712</c:v>
                </c:pt>
                <c:pt idx="490">
                  <c:v>-38.8986061071172</c:v>
                </c:pt>
                <c:pt idx="491">
                  <c:v>-39.098549524814</c:v>
                </c:pt>
                <c:pt idx="492">
                  <c:v>-39.2984954884454</c:v>
                </c:pt>
                <c:pt idx="493">
                  <c:v>-39.4984438834857</c:v>
                </c:pt>
                <c:pt idx="494">
                  <c:v>-39.6983946005588</c:v>
                </c:pt>
                <c:pt idx="495">
                  <c:v>-39.8983475352066</c:v>
                </c:pt>
                <c:pt idx="496">
                  <c:v>-40.0983025876676</c:v>
                </c:pt>
                <c:pt idx="497">
                  <c:v>-40.2982596626664</c:v>
                </c:pt>
                <c:pt idx="498">
                  <c:v>-40.4982186692122</c:v>
                </c:pt>
                <c:pt idx="499">
                  <c:v>-40.6981795204057</c:v>
                </c:pt>
                <c:pt idx="500">
                  <c:v>-40.8981421332562</c:v>
                </c:pt>
                <c:pt idx="501">
                  <c:v>-41.0981064285046</c:v>
                </c:pt>
                <c:pt idx="502">
                  <c:v>-41.2980723304576</c:v>
                </c:pt>
                <c:pt idx="503">
                  <c:v>-41.4980397668252</c:v>
                </c:pt>
                <c:pt idx="504">
                  <c:v>-41.6980086685695</c:v>
                </c:pt>
                <c:pt idx="505">
                  <c:v>-41.8979789697579</c:v>
                </c:pt>
                <c:pt idx="506">
                  <c:v>-42.0979506074233</c:v>
                </c:pt>
                <c:pt idx="507">
                  <c:v>-42.297923521431</c:v>
                </c:pt>
                <c:pt idx="508">
                  <c:v>-42.4978976543512</c:v>
                </c:pt>
                <c:pt idx="509">
                  <c:v>-42.6978729513379</c:v>
                </c:pt>
                <c:pt idx="510">
                  <c:v>-42.8978493600121</c:v>
                </c:pt>
                <c:pt idx="511">
                  <c:v>-43.097826830351</c:v>
                </c:pt>
                <c:pt idx="512">
                  <c:v>-43.2978053145825</c:v>
                </c:pt>
                <c:pt idx="513">
                  <c:v>-43.4977847670836</c:v>
                </c:pt>
                <c:pt idx="514">
                  <c:v>-43.6977651442836</c:v>
                </c:pt>
                <c:pt idx="515">
                  <c:v>-43.8977464045723</c:v>
                </c:pt>
                <c:pt idx="516">
                  <c:v>-44.0977285082114</c:v>
                </c:pt>
                <c:pt idx="517">
                  <c:v>-44.2977114172504</c:v>
                </c:pt>
                <c:pt idx="518">
                  <c:v>-44.4976950954467</c:v>
                </c:pt>
                <c:pt idx="519">
                  <c:v>-44.6976795081877</c:v>
                </c:pt>
                <c:pt idx="520">
                  <c:v>-44.8976646224187</c:v>
                </c:pt>
                <c:pt idx="521">
                  <c:v>-45.097650406572</c:v>
                </c:pt>
                <c:pt idx="522">
                  <c:v>-45.2976368305004</c:v>
                </c:pt>
                <c:pt idx="523">
                  <c:v>-45.4976238654129</c:v>
                </c:pt>
                <c:pt idx="524">
                  <c:v>-45.6976114838143</c:v>
                </c:pt>
                <c:pt idx="525">
                  <c:v>-45.8975996594465</c:v>
                </c:pt>
                <c:pt idx="526">
                  <c:v>-46.0975883672329</c:v>
                </c:pt>
                <c:pt idx="527">
                  <c:v>-46.2975775832251</c:v>
                </c:pt>
                <c:pt idx="528">
                  <c:v>-46.4975672845526</c:v>
                </c:pt>
                <c:pt idx="529">
                  <c:v>-46.6975574493739</c:v>
                </c:pt>
                <c:pt idx="530">
                  <c:v>-46.8975480568304</c:v>
                </c:pt>
                <c:pt idx="531">
                  <c:v>-47.0975390870021</c:v>
                </c:pt>
                <c:pt idx="532">
                  <c:v>-47.2975305208651</c:v>
                </c:pt>
                <c:pt idx="533">
                  <c:v>-47.4975223402521</c:v>
                </c:pt>
                <c:pt idx="534">
                  <c:v>-47.6975145278127</c:v>
                </c:pt>
                <c:pt idx="535">
                  <c:v>-47.8975070669781</c:v>
                </c:pt>
                <c:pt idx="536">
                  <c:v>-48.0974999419244</c:v>
                </c:pt>
                <c:pt idx="537">
                  <c:v>-48.2974931375399</c:v>
                </c:pt>
                <c:pt idx="538">
                  <c:v>-48.4974866393933</c:v>
                </c:pt>
                <c:pt idx="539">
                  <c:v>-48.6974804337023</c:v>
                </c:pt>
                <c:pt idx="540">
                  <c:v>-48.8974745073051</c:v>
                </c:pt>
                <c:pt idx="541">
                  <c:v>-49.0974688476322</c:v>
                </c:pt>
              </c:numCache>
            </c:numRef>
          </c:yVal>
          <c:smooth val="1"/>
        </c:ser>
        <c:dLbls>
          <c:showLegendKey val="0"/>
          <c:showVal val="0"/>
          <c:showCatName val="0"/>
          <c:showSerName val="0"/>
          <c:showPercent val="0"/>
          <c:showBubbleSize val="0"/>
        </c:dLbls>
        <c:axId val="175558656"/>
        <c:axId val="175560576"/>
      </c:scatterChart>
      <c:scatterChart>
        <c:scatterStyle val="smooth"/>
        <c:varyColors val="0"/>
        <c:ser>
          <c:idx val="1"/>
          <c:order val="1"/>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Loop_Modeling!$BE$19:$BE$560</c:f>
              <c:numCache>
                <c:formatCode>General</c:formatCode>
                <c:ptCount val="542"/>
                <c:pt idx="0">
                  <c:v>91.9828963036862</c:v>
                </c:pt>
                <c:pt idx="1">
                  <c:v>92.02904322495</c:v>
                </c:pt>
                <c:pt idx="2">
                  <c:v>92.0762621407672</c:v>
                </c:pt>
                <c:pt idx="3">
                  <c:v>92.1245778136954</c:v>
                </c:pt>
                <c:pt idx="4">
                  <c:v>92.1740155683</c:v>
                </c:pt>
                <c:pt idx="5">
                  <c:v>92.2246013031928</c:v>
                </c:pt>
                <c:pt idx="6">
                  <c:v>92.276361503277</c:v>
                </c:pt>
                <c:pt idx="7">
                  <c:v>92.3293232521975</c:v>
                </c:pt>
                <c:pt idx="8">
                  <c:v>92.3835142449961</c:v>
                </c:pt>
                <c:pt idx="9">
                  <c:v>92.4389628009694</c:v>
                </c:pt>
                <c:pt idx="10">
                  <c:v>92.4956978767291</c:v>
                </c:pt>
                <c:pt idx="11">
                  <c:v>92.5537490794615</c:v>
                </c:pt>
                <c:pt idx="12">
                  <c:v>92.6131466803837</c:v>
                </c:pt>
                <c:pt idx="13">
                  <c:v>92.6739216283941</c:v>
                </c:pt>
                <c:pt idx="14">
                  <c:v>92.7361055639115</c:v>
                </c:pt>
                <c:pt idx="15">
                  <c:v>92.7997308329002</c:v>
                </c:pt>
                <c:pt idx="16">
                  <c:v>92.8648305010749</c:v>
                </c:pt>
                <c:pt idx="17">
                  <c:v>92.9314383682789</c:v>
                </c:pt>
                <c:pt idx="18">
                  <c:v>92.99958898303</c:v>
                </c:pt>
                <c:pt idx="19">
                  <c:v>93.0693176572253</c:v>
                </c:pt>
                <c:pt idx="20">
                  <c:v>93.1406604809958</c:v>
                </c:pt>
                <c:pt idx="21">
                  <c:v>93.213654337703</c:v>
                </c:pt>
                <c:pt idx="22">
                  <c:v>93.2883369190633</c:v>
                </c:pt>
                <c:pt idx="23">
                  <c:v>93.3647467403918</c:v>
                </c:pt>
                <c:pt idx="24">
                  <c:v>93.4429231559482</c:v>
                </c:pt>
                <c:pt idx="25">
                  <c:v>93.5229063743733</c:v>
                </c:pt>
                <c:pt idx="26">
                  <c:v>93.6047374741974</c:v>
                </c:pt>
                <c:pt idx="27">
                  <c:v>93.6884584194039</c:v>
                </c:pt>
                <c:pt idx="28">
                  <c:v>93.7741120750271</c:v>
                </c:pt>
                <c:pt idx="29">
                  <c:v>93.8617422227643</c:v>
                </c:pt>
                <c:pt idx="30">
                  <c:v>93.9513935765773</c:v>
                </c:pt>
                <c:pt idx="31">
                  <c:v>94.0431117982581</c:v>
                </c:pt>
                <c:pt idx="32">
                  <c:v>94.1369435129307</c:v>
                </c:pt>
                <c:pt idx="33">
                  <c:v>94.2329363244587</c:v>
                </c:pt>
                <c:pt idx="34">
                  <c:v>94.3311388307263</c:v>
                </c:pt>
                <c:pt idx="35">
                  <c:v>94.4316006387557</c:v>
                </c:pt>
                <c:pt idx="36">
                  <c:v>94.5343723796234</c:v>
                </c:pt>
                <c:pt idx="37">
                  <c:v>94.6395057231335</c:v>
                </c:pt>
                <c:pt idx="38">
                  <c:v>94.7470533922024</c:v>
                </c:pt>
                <c:pt idx="39">
                  <c:v>94.8570691769067</c:v>
                </c:pt>
                <c:pt idx="40">
                  <c:v>94.9696079481413</c:v>
                </c:pt>
                <c:pt idx="41">
                  <c:v>95.0847256708332</c:v>
                </c:pt>
                <c:pt idx="42">
                  <c:v>95.202479416647</c:v>
                </c:pt>
                <c:pt idx="43">
                  <c:v>95.322927376121</c:v>
                </c:pt>
                <c:pt idx="44">
                  <c:v>95.4461288701609</c:v>
                </c:pt>
                <c:pt idx="45">
                  <c:v>95.5721443608178</c:v>
                </c:pt>
                <c:pt idx="46">
                  <c:v>95.7010354612703</c:v>
                </c:pt>
                <c:pt idx="47">
                  <c:v>95.8328649449241</c:v>
                </c:pt>
                <c:pt idx="48">
                  <c:v>95.9676967535384</c:v>
                </c:pt>
                <c:pt idx="49">
                  <c:v>96.1055960042804</c:v>
                </c:pt>
                <c:pt idx="50">
                  <c:v>96.2466289956042</c:v>
                </c:pt>
                <c:pt idx="51">
                  <c:v>96.3908632118417</c:v>
                </c:pt>
                <c:pt idx="52">
                  <c:v>96.5383673263881</c:v>
                </c:pt>
                <c:pt idx="53">
                  <c:v>96.6892112033549</c:v>
                </c:pt>
                <c:pt idx="54">
                  <c:v>96.843465897557</c:v>
                </c:pt>
                <c:pt idx="55">
                  <c:v>97.001203652691</c:v>
                </c:pt>
                <c:pt idx="56">
                  <c:v>97.1624978975539</c:v>
                </c:pt>
                <c:pt idx="57">
                  <c:v>97.3274232401424</c:v>
                </c:pt>
                <c:pt idx="58">
                  <c:v>97.4960554594638</c:v>
                </c:pt>
                <c:pt idx="59">
                  <c:v>97.6684714948778</c:v>
                </c:pt>
                <c:pt idx="60">
                  <c:v>97.8447494327828</c:v>
                </c:pt>
                <c:pt idx="61">
                  <c:v>98.024968490446</c:v>
                </c:pt>
                <c:pt idx="62">
                  <c:v>98.2092089967668</c:v>
                </c:pt>
                <c:pt idx="63">
                  <c:v>98.3975523697544</c:v>
                </c:pt>
                <c:pt idx="64">
                  <c:v>98.5900810904868</c:v>
                </c:pt>
                <c:pt idx="65">
                  <c:v>98.7868786733076</c:v>
                </c:pt>
                <c:pt idx="66">
                  <c:v>98.9880296320086</c:v>
                </c:pt>
                <c:pt idx="67">
                  <c:v>99.1936194417283</c:v>
                </c:pt>
                <c:pt idx="68">
                  <c:v>99.403734496293</c:v>
                </c:pt>
                <c:pt idx="69">
                  <c:v>99.6184620607079</c:v>
                </c:pt>
                <c:pt idx="70">
                  <c:v>99.8378902185009</c:v>
                </c:pt>
                <c:pt idx="71">
                  <c:v>100.062107813606</c:v>
                </c:pt>
                <c:pt idx="72">
                  <c:v>100.291204386463</c:v>
                </c:pt>
                <c:pt idx="73">
                  <c:v>100.525270104009</c:v>
                </c:pt>
                <c:pt idx="74">
                  <c:v>100.764395683203</c:v>
                </c:pt>
                <c:pt idx="75">
                  <c:v>101.008672307756</c:v>
                </c:pt>
                <c:pt idx="76">
                  <c:v>101.258191537684</c:v>
                </c:pt>
                <c:pt idx="77">
                  <c:v>101.513045211341</c:v>
                </c:pt>
                <c:pt idx="78">
                  <c:v>101.773325339544</c:v>
                </c:pt>
                <c:pt idx="79">
                  <c:v>102.03912399142</c:v>
                </c:pt>
                <c:pt idx="80">
                  <c:v>102.310533171609</c:v>
                </c:pt>
                <c:pt idx="81">
                  <c:v>102.587644688436</c:v>
                </c:pt>
                <c:pt idx="82">
                  <c:v>102.870550012676</c:v>
                </c:pt>
                <c:pt idx="83">
                  <c:v>103.159340126559</c:v>
                </c:pt>
                <c:pt idx="84">
                  <c:v>103.454105362642</c:v>
                </c:pt>
                <c:pt idx="85">
                  <c:v>103.75493523221</c:v>
                </c:pt>
                <c:pt idx="86">
                  <c:v>104.061918242862</c:v>
                </c:pt>
                <c:pt idx="87">
                  <c:v>104.375141704992</c:v>
                </c:pt>
                <c:pt idx="88">
                  <c:v>104.694691526855</c:v>
                </c:pt>
                <c:pt idx="89">
                  <c:v>105.020651997983</c:v>
                </c:pt>
                <c:pt idx="90">
                  <c:v>105.353105560712</c:v>
                </c:pt>
                <c:pt idx="91">
                  <c:v>105.692132569653</c:v>
                </c:pt>
                <c:pt idx="92">
                  <c:v>106.03781103897</c:v>
                </c:pt>
                <c:pt idx="93">
                  <c:v>106.390216377385</c:v>
                </c:pt>
                <c:pt idx="94">
                  <c:v>106.749421110903</c:v>
                </c:pt>
                <c:pt idx="95">
                  <c:v>107.115494593301</c:v>
                </c:pt>
                <c:pt idx="96">
                  <c:v>107.488502704519</c:v>
                </c:pt>
                <c:pt idx="97">
                  <c:v>107.868507537165</c:v>
                </c:pt>
                <c:pt idx="98">
                  <c:v>108.255567071446</c:v>
                </c:pt>
                <c:pt idx="99">
                  <c:v>108.64973483894</c:v>
                </c:pt>
                <c:pt idx="100">
                  <c:v>109.051059575728</c:v>
                </c:pt>
                <c:pt idx="101">
                  <c:v>109.459584865535</c:v>
                </c:pt>
                <c:pt idx="102">
                  <c:v>109.875348773645</c:v>
                </c:pt>
                <c:pt idx="103">
                  <c:v>110.298383472508</c:v>
                </c:pt>
                <c:pt idx="104">
                  <c:v>110.728714860078</c:v>
                </c:pt>
                <c:pt idx="105">
                  <c:v>111.166362172092</c:v>
                </c:pt>
                <c:pt idx="106">
                  <c:v>111.611337589651</c:v>
                </c:pt>
                <c:pt idx="107">
                  <c:v>112.063645843612</c:v>
                </c:pt>
                <c:pt idx="108">
                  <c:v>112.523283817497</c:v>
                </c:pt>
                <c:pt idx="109">
                  <c:v>112.990240150743</c:v>
                </c:pt>
                <c:pt idx="110">
                  <c:v>113.46449484435</c:v>
                </c:pt>
                <c:pt idx="111">
                  <c:v>113.946018871088</c:v>
                </c:pt>
                <c:pt idx="112">
                  <c:v>114.434773792618</c:v>
                </c:pt>
                <c:pt idx="113">
                  <c:v>114.930711386051</c:v>
                </c:pt>
                <c:pt idx="114">
                  <c:v>115.433773282576</c:v>
                </c:pt>
                <c:pt idx="115">
                  <c:v>115.94389062096</c:v>
                </c:pt>
                <c:pt idx="116">
                  <c:v>116.460983718821</c:v>
                </c:pt>
                <c:pt idx="117">
                  <c:v>116.984961764698</c:v>
                </c:pt>
                <c:pt idx="118">
                  <c:v>117.515722533984</c:v>
                </c:pt>
                <c:pt idx="119">
                  <c:v>118.053152131898</c:v>
                </c:pt>
                <c:pt idx="120">
                  <c:v>118.597124766641</c:v>
                </c:pt>
                <c:pt idx="121">
                  <c:v>119.147502555921</c:v>
                </c:pt>
                <c:pt idx="122">
                  <c:v>119.70413536997</c:v>
                </c:pt>
                <c:pt idx="123">
                  <c:v>120.266860714103</c:v>
                </c:pt>
                <c:pt idx="124">
                  <c:v>120.83550365376</c:v>
                </c:pt>
                <c:pt idx="125">
                  <c:v>121.409876784815</c:v>
                </c:pt>
                <c:pt idx="126">
                  <c:v>121.989780251712</c:v>
                </c:pt>
                <c:pt idx="127">
                  <c:v>122.575001815797</c:v>
                </c:pt>
                <c:pt idx="128">
                  <c:v>123.165316975866</c:v>
                </c:pt>
                <c:pt idx="129">
                  <c:v>123.760489142672</c:v>
                </c:pt>
                <c:pt idx="130">
                  <c:v>124.360269868732</c:v>
                </c:pt>
                <c:pt idx="131">
                  <c:v>124.964399134383</c:v>
                </c:pt>
                <c:pt idx="132">
                  <c:v>125.572605690589</c:v>
                </c:pt>
                <c:pt idx="133">
                  <c:v>126.184607458526</c:v>
                </c:pt>
                <c:pt idx="134">
                  <c:v>126.80011198548</c:v>
                </c:pt>
                <c:pt idx="135">
                  <c:v>127.418816956069</c:v>
                </c:pt>
                <c:pt idx="136">
                  <c:v>128.040410757275</c:v>
                </c:pt>
                <c:pt idx="137">
                  <c:v>128.664573095241</c:v>
                </c:pt>
                <c:pt idx="138">
                  <c:v>129.290975661253</c:v>
                </c:pt>
                <c:pt idx="139">
                  <c:v>129.919282843805</c:v>
                </c:pt>
                <c:pt idx="140">
                  <c:v>130.549152483159</c:v>
                </c:pt>
                <c:pt idx="141">
                  <c:v>131.180236664325</c:v>
                </c:pt>
                <c:pt idx="142">
                  <c:v>131.812182543964</c:v>
                </c:pt>
                <c:pt idx="143">
                  <c:v>132.444633206323</c:v>
                </c:pt>
                <c:pt idx="144">
                  <c:v>133.077228542967</c:v>
                </c:pt>
                <c:pt idx="145">
                  <c:v>133.709606150803</c:v>
                </c:pt>
                <c:pt idx="146">
                  <c:v>134.341402242654</c:v>
                </c:pt>
                <c:pt idx="147">
                  <c:v>134.972252564521</c:v>
                </c:pt>
                <c:pt idx="148">
                  <c:v>135.601793313544</c:v>
                </c:pt>
                <c:pt idx="149">
                  <c:v>136.229662050712</c:v>
                </c:pt>
                <c:pt idx="150">
                  <c:v>136.85549860239</c:v>
                </c:pt>
                <c:pt idx="151">
                  <c:v>137.478945944893</c:v>
                </c:pt>
                <c:pt idx="152">
                  <c:v>138.099651066517</c:v>
                </c:pt>
                <c:pt idx="153">
                  <c:v>138.717265801719</c:v>
                </c:pt>
                <c:pt idx="154">
                  <c:v>139.331447632435</c:v>
                </c:pt>
                <c:pt idx="155">
                  <c:v>139.941860451929</c:v>
                </c:pt>
                <c:pt idx="156">
                  <c:v>140.548175286969</c:v>
                </c:pt>
                <c:pt idx="157">
                  <c:v>141.150070974596</c:v>
                </c:pt>
                <c:pt idx="158">
                  <c:v>141.747234790236</c:v>
                </c:pt>
                <c:pt idx="159">
                  <c:v>142.339363024429</c:v>
                </c:pt>
                <c:pt idx="160">
                  <c:v>142.926161505968</c:v>
                </c:pt>
                <c:pt idx="161">
                  <c:v>143.507346069778</c:v>
                </c:pt>
                <c:pt idx="162">
                  <c:v>144.082642968403</c:v>
                </c:pt>
                <c:pt idx="163">
                  <c:v>144.651789226472</c:v>
                </c:pt>
                <c:pt idx="164">
                  <c:v>145.214532938044</c:v>
                </c:pt>
                <c:pt idx="165">
                  <c:v>145.770633507186</c:v>
                </c:pt>
                <c:pt idx="166">
                  <c:v>146.319861832618</c:v>
                </c:pt>
                <c:pt idx="167">
                  <c:v>146.862000437648</c:v>
                </c:pt>
                <c:pt idx="168">
                  <c:v>147.396843547029</c:v>
                </c:pt>
                <c:pt idx="169">
                  <c:v>147.924197112687</c:v>
                </c:pt>
                <c:pt idx="170">
                  <c:v>148.443878790591</c:v>
                </c:pt>
                <c:pt idx="171">
                  <c:v>148.955717871271</c:v>
                </c:pt>
                <c:pt idx="172">
                  <c:v>149.459555166708</c:v>
                </c:pt>
                <c:pt idx="173">
                  <c:v>149.955242856515</c:v>
                </c:pt>
                <c:pt idx="174">
                  <c:v>150.442644296399</c:v>
                </c:pt>
                <c:pt idx="175">
                  <c:v>150.921633792053</c:v>
                </c:pt>
                <c:pt idx="176">
                  <c:v>151.392096341615</c:v>
                </c:pt>
                <c:pt idx="177">
                  <c:v>151.853927349881</c:v>
                </c:pt>
                <c:pt idx="178">
                  <c:v>152.307032317435</c:v>
                </c:pt>
                <c:pt idx="179">
                  <c:v>152.751326507801</c:v>
                </c:pt>
                <c:pt idx="180">
                  <c:v>153.186734595669</c:v>
                </c:pt>
                <c:pt idx="181">
                  <c:v>153.613190299124</c:v>
                </c:pt>
                <c:pt idx="182">
                  <c:v>154.030635998725</c:v>
                </c:pt>
                <c:pt idx="183">
                  <c:v>154.439022346128</c:v>
                </c:pt>
                <c:pt idx="184">
                  <c:v>154.838307864807</c:v>
                </c:pt>
                <c:pt idx="185">
                  <c:v>155.228458545287</c:v>
                </c:pt>
                <c:pt idx="186">
                  <c:v>155.60944743712</c:v>
                </c:pt>
                <c:pt idx="187">
                  <c:v>155.981254239697</c:v>
                </c:pt>
                <c:pt idx="188">
                  <c:v>156.343864893798</c:v>
                </c:pt>
                <c:pt idx="189">
                  <c:v>156.697271175638</c:v>
                </c:pt>
                <c:pt idx="190">
                  <c:v>157.041470294972</c:v>
                </c:pt>
                <c:pt idx="191">
                  <c:v>157.376464498701</c:v>
                </c:pt>
                <c:pt idx="192">
                  <c:v>157.702260681215</c:v>
                </c:pt>
                <c:pt idx="193">
                  <c:v>158.018870002609</c:v>
                </c:pt>
                <c:pt idx="194">
                  <c:v>158.326307515721</c:v>
                </c:pt>
                <c:pt idx="195">
                  <c:v>158.624591802829</c:v>
                </c:pt>
                <c:pt idx="196">
                  <c:v>158.913744622705</c:v>
                </c:pt>
                <c:pt idx="197">
                  <c:v>159.193790568614</c:v>
                </c:pt>
                <c:pt idx="198">
                  <c:v>159.464756737711</c:v>
                </c:pt>
                <c:pt idx="199">
                  <c:v>159.72667241222</c:v>
                </c:pt>
                <c:pt idx="200">
                  <c:v>159.97956875266</c:v>
                </c:pt>
                <c:pt idx="201">
                  <c:v>160.223478503296</c:v>
                </c:pt>
                <c:pt idx="202">
                  <c:v>160.45843570994</c:v>
                </c:pt>
                <c:pt idx="203">
                  <c:v>160.684475450128</c:v>
                </c:pt>
                <c:pt idx="204">
                  <c:v>160.901633575664</c:v>
                </c:pt>
                <c:pt idx="205">
                  <c:v>161.109946467449</c:v>
                </c:pt>
                <c:pt idx="206">
                  <c:v>161.309450802477</c:v>
                </c:pt>
                <c:pt idx="207">
                  <c:v>161.500183332841</c:v>
                </c:pt>
                <c:pt idx="208">
                  <c:v>161.68218067655</c:v>
                </c:pt>
                <c:pt idx="209">
                  <c:v>161.855479119944</c:v>
                </c:pt>
                <c:pt idx="210">
                  <c:v>162.020114431452</c:v>
                </c:pt>
                <c:pt idx="211">
                  <c:v>162.17612168645</c:v>
                </c:pt>
                <c:pt idx="212">
                  <c:v>162.323535102925</c:v>
                </c:pt>
                <c:pt idx="213">
                  <c:v>162.462387887689</c:v>
                </c:pt>
                <c:pt idx="214">
                  <c:v>162.59271209284</c:v>
                </c:pt>
                <c:pt idx="215">
                  <c:v>162.714538482191</c:v>
                </c:pt>
                <c:pt idx="216">
                  <c:v>162.827896407383</c:v>
                </c:pt>
                <c:pt idx="217">
                  <c:v>162.93281369341</c:v>
                </c:pt>
                <c:pt idx="218">
                  <c:v>163.029316533277</c:v>
                </c:pt>
                <c:pt idx="219">
                  <c:v>163.117429391535</c:v>
                </c:pt>
                <c:pt idx="220">
                  <c:v>163.197174916449</c:v>
                </c:pt>
                <c:pt idx="221">
                  <c:v>163.268573860561</c:v>
                </c:pt>
                <c:pt idx="222">
                  <c:v>163.331645009429</c:v>
                </c:pt>
                <c:pt idx="223">
                  <c:v>163.386405118343</c:v>
                </c:pt>
                <c:pt idx="224">
                  <c:v>163.432868856833</c:v>
                </c:pt>
                <c:pt idx="225">
                  <c:v>163.471048760809</c:v>
                </c:pt>
                <c:pt idx="226">
                  <c:v>163.500955192178</c:v>
                </c:pt>
                <c:pt idx="227">
                  <c:v>163.522596305828</c:v>
                </c:pt>
                <c:pt idx="228">
                  <c:v>163.535978023862</c:v>
                </c:pt>
                <c:pt idx="229">
                  <c:v>163.541104017011</c:v>
                </c:pt>
                <c:pt idx="230">
                  <c:v>163.537975693169</c:v>
                </c:pt>
                <c:pt idx="231">
                  <c:v>163.526592193001</c:v>
                </c:pt>
                <c:pt idx="232">
                  <c:v>163.50695039262</c:v>
                </c:pt>
                <c:pt idx="233">
                  <c:v>163.479044913344</c:v>
                </c:pt>
                <c:pt idx="234">
                  <c:v>163.442868138554</c:v>
                </c:pt>
                <c:pt idx="235">
                  <c:v>163.398410237709</c:v>
                </c:pt>
                <c:pt idx="236">
                  <c:v>163.345659197609</c:v>
                </c:pt>
                <c:pt idx="237">
                  <c:v>163.284600860976</c:v>
                </c:pt>
                <c:pt idx="238">
                  <c:v>163.215218972499</c:v>
                </c:pt>
                <c:pt idx="239">
                  <c:v>163.137495232457</c:v>
                </c:pt>
                <c:pt idx="240">
                  <c:v>163.051409358109</c:v>
                </c:pt>
                <c:pt idx="241">
                  <c:v>162.956939153002</c:v>
                </c:pt>
                <c:pt idx="242">
                  <c:v>162.85406058441</c:v>
                </c:pt>
                <c:pt idx="243">
                  <c:v>162.742747869115</c:v>
                </c:pt>
                <c:pt idx="244">
                  <c:v>162.62297356776</c:v>
                </c:pt>
                <c:pt idx="245">
                  <c:v>162.494708688019</c:v>
                </c:pt>
                <c:pt idx="246">
                  <c:v>162.357922796837</c:v>
                </c:pt>
                <c:pt idx="247">
                  <c:v>162.212584142016</c:v>
                </c:pt>
                <c:pt idx="248">
                  <c:v>162.058659783415</c:v>
                </c:pt>
                <c:pt idx="249">
                  <c:v>161.896115734047</c:v>
                </c:pt>
                <c:pt idx="250">
                  <c:v>161.724917111366</c:v>
                </c:pt>
                <c:pt idx="251">
                  <c:v>161.545028299021</c:v>
                </c:pt>
                <c:pt idx="252">
                  <c:v>161.356413119354</c:v>
                </c:pt>
                <c:pt idx="253">
                  <c:v>161.159035016935</c:v>
                </c:pt>
                <c:pt idx="254">
                  <c:v>160.95285725338</c:v>
                </c:pt>
                <c:pt idx="255">
                  <c:v>160.737843113701</c:v>
                </c:pt>
                <c:pt idx="256">
                  <c:v>160.513956124429</c:v>
                </c:pt>
                <c:pt idx="257">
                  <c:v>160.281160283689</c:v>
                </c:pt>
                <c:pt idx="258">
                  <c:v>160.039420303419</c:v>
                </c:pt>
                <c:pt idx="259">
                  <c:v>159.788701863842</c:v>
                </c:pt>
                <c:pt idx="260">
                  <c:v>159.528971880292</c:v>
                </c:pt>
                <c:pt idx="261">
                  <c:v>159.260198782419</c:v>
                </c:pt>
                <c:pt idx="262">
                  <c:v>158.982352805758</c:v>
                </c:pt>
                <c:pt idx="263">
                  <c:v>158.695406295555</c:v>
                </c:pt>
                <c:pt idx="264">
                  <c:v>158.3993340227</c:v>
                </c:pt>
                <c:pt idx="265">
                  <c:v>158.094113511502</c:v>
                </c:pt>
                <c:pt idx="266">
                  <c:v>157.779725378975</c:v>
                </c:pt>
                <c:pt idx="267">
                  <c:v>157.456153685181</c:v>
                </c:pt>
                <c:pt idx="268">
                  <c:v>157.123386294089</c:v>
                </c:pt>
                <c:pt idx="269">
                  <c:v>156.781415244268</c:v>
                </c:pt>
                <c:pt idx="270">
                  <c:v>156.430237128621</c:v>
                </c:pt>
                <c:pt idx="271">
                  <c:v>156.069853482233</c:v>
                </c:pt>
                <c:pt idx="272">
                  <c:v>155.700271177243</c:v>
                </c:pt>
                <c:pt idx="273">
                  <c:v>155.321502823532</c:v>
                </c:pt>
                <c:pt idx="274">
                  <c:v>154.933567173835</c:v>
                </c:pt>
                <c:pt idx="275">
                  <c:v>154.53648953174</c:v>
                </c:pt>
                <c:pt idx="276">
                  <c:v>154.130302160865</c:v>
                </c:pt>
                <c:pt idx="277">
                  <c:v>153.715044693352</c:v>
                </c:pt>
                <c:pt idx="278">
                  <c:v>153.290764535618</c:v>
                </c:pt>
                <c:pt idx="279">
                  <c:v>152.857517269176</c:v>
                </c:pt>
                <c:pt idx="280">
                  <c:v>152.415367044158</c:v>
                </c:pt>
                <c:pt idx="281">
                  <c:v>151.964386963006</c:v>
                </c:pt>
                <c:pt idx="282">
                  <c:v>151.50465945168</c:v>
                </c:pt>
                <c:pt idx="283">
                  <c:v>151.03627661557</c:v>
                </c:pt>
                <c:pt idx="284">
                  <c:v>150.5593405772</c:v>
                </c:pt>
                <c:pt idx="285">
                  <c:v>150.073963792701</c:v>
                </c:pt>
                <c:pt idx="286">
                  <c:v>149.580269343956</c:v>
                </c:pt>
                <c:pt idx="287">
                  <c:v>149.078391203266</c:v>
                </c:pt>
                <c:pt idx="288">
                  <c:v>148.568474467363</c:v>
                </c:pt>
                <c:pt idx="289">
                  <c:v>148.050675557591</c:v>
                </c:pt>
                <c:pt idx="290">
                  <c:v>147.525162383147</c:v>
                </c:pt>
                <c:pt idx="291">
                  <c:v>146.992114464307</c:v>
                </c:pt>
                <c:pt idx="292">
                  <c:v>146.451723012725</c:v>
                </c:pt>
                <c:pt idx="293">
                  <c:v>145.904190966022</c:v>
                </c:pt>
                <c:pt idx="294">
                  <c:v>145.349732974096</c:v>
                </c:pt>
                <c:pt idx="295">
                  <c:v>144.788575334836</c:v>
                </c:pt>
                <c:pt idx="296">
                  <c:v>144.22095587719</c:v>
                </c:pt>
                <c:pt idx="297">
                  <c:v>143.647123789889</c:v>
                </c:pt>
                <c:pt idx="298">
                  <c:v>143.067339394501</c:v>
                </c:pt>
                <c:pt idx="299">
                  <c:v>142.481873861872</c:v>
                </c:pt>
                <c:pt idx="300">
                  <c:v>141.891008871493</c:v>
                </c:pt>
                <c:pt idx="301">
                  <c:v>141.295036213775</c:v>
                </c:pt>
                <c:pt idx="302">
                  <c:v>140.694257335737</c:v>
                </c:pt>
                <c:pt idx="303">
                  <c:v>140.088982831101</c:v>
                </c:pt>
                <c:pt idx="304">
                  <c:v>139.479531876355</c:v>
                </c:pt>
                <c:pt idx="305">
                  <c:v>138.866231614844</c:v>
                </c:pt>
                <c:pt idx="306">
                  <c:v>138.249416491498</c:v>
                </c:pt>
                <c:pt idx="307">
                  <c:v>137.629427541321</c:v>
                </c:pt>
                <c:pt idx="308">
                  <c:v>137.00661163526</c:v>
                </c:pt>
                <c:pt idx="309">
                  <c:v>136.381320687544</c:v>
                </c:pt>
                <c:pt idx="310">
                  <c:v>135.753910829014</c:v>
                </c:pt>
                <c:pt idx="311">
                  <c:v>135.124741551355</c:v>
                </c:pt>
                <c:pt idx="312">
                  <c:v>134.494174827475</c:v>
                </c:pt>
                <c:pt idx="313">
                  <c:v>133.862574213556</c:v>
                </c:pt>
                <c:pt idx="314">
                  <c:v>133.230303938513</c:v>
                </c:pt>
                <c:pt idx="315">
                  <c:v>132.597727986756</c:v>
                </c:pt>
                <c:pt idx="316">
                  <c:v>131.965209180212</c:v>
                </c:pt>
                <c:pt idx="317">
                  <c:v>131.333108265588</c:v>
                </c:pt>
                <c:pt idx="318">
                  <c:v>130.701783012774</c:v>
                </c:pt>
                <c:pt idx="319">
                  <c:v>130.071587330174</c:v>
                </c:pt>
                <c:pt idx="320">
                  <c:v>129.442870402518</c:v>
                </c:pt>
                <c:pt idx="321">
                  <c:v>128.815975856469</c:v>
                </c:pt>
                <c:pt idx="322">
                  <c:v>128.191240959011</c:v>
                </c:pt>
                <c:pt idx="323">
                  <c:v>127.568995853193</c:v>
                </c:pt>
                <c:pt idx="324">
                  <c:v>126.949562835438</c:v>
                </c:pt>
                <c:pt idx="325">
                  <c:v>126.333255678097</c:v>
                </c:pt>
                <c:pt idx="326">
                  <c:v>125.720379000503</c:v>
                </c:pt>
                <c:pt idx="327">
                  <c:v>125.111227691195</c:v>
                </c:pt>
                <c:pt idx="328">
                  <c:v>124.506086383517</c:v>
                </c:pt>
                <c:pt idx="329">
                  <c:v>123.90522898622</c:v>
                </c:pt>
                <c:pt idx="330">
                  <c:v>123.308918270189</c:v>
                </c:pt>
                <c:pt idx="331">
                  <c:v>122.717405511875</c:v>
                </c:pt>
                <c:pt idx="332">
                  <c:v>122.130930193539</c:v>
                </c:pt>
                <c:pt idx="333">
                  <c:v>121.549719759893</c:v>
                </c:pt>
                <c:pt idx="334">
                  <c:v>120.973989430333</c:v>
                </c:pt>
                <c:pt idx="335">
                  <c:v>120.403942065461</c:v>
                </c:pt>
                <c:pt idx="336">
                  <c:v>119.839768086309</c:v>
                </c:pt>
                <c:pt idx="337">
                  <c:v>119.281645444244</c:v>
                </c:pt>
                <c:pt idx="338">
                  <c:v>118.729739639322</c:v>
                </c:pt>
                <c:pt idx="339">
                  <c:v>118.184203784538</c:v>
                </c:pt>
                <c:pt idx="340">
                  <c:v>117.645178713247</c:v>
                </c:pt>
                <c:pt idx="341">
                  <c:v>117.112793126853</c:v>
                </c:pt>
                <c:pt idx="342">
                  <c:v>116.587163779743</c:v>
                </c:pt>
                <c:pt idx="343">
                  <c:v>116.068395698339</c:v>
                </c:pt>
                <c:pt idx="344">
                  <c:v>115.556582431115</c:v>
                </c:pt>
                <c:pt idx="345">
                  <c:v>115.051806326411</c:v>
                </c:pt>
                <c:pt idx="346">
                  <c:v>114.554138834872</c:v>
                </c:pt>
                <c:pt idx="347">
                  <c:v>114.063640833424</c:v>
                </c:pt>
                <c:pt idx="348">
                  <c:v>113.580362967743</c:v>
                </c:pt>
                <c:pt idx="349">
                  <c:v>113.104346010282</c:v>
                </c:pt>
                <c:pt idx="350">
                  <c:v>112.635621231054</c:v>
                </c:pt>
                <c:pt idx="351">
                  <c:v>112.174210778448</c:v>
                </c:pt>
                <c:pt idx="352">
                  <c:v>111.720128067579</c:v>
                </c:pt>
                <c:pt idx="353">
                  <c:v>111.273378173742</c:v>
                </c:pt>
                <c:pt idx="354">
                  <c:v>110.833958228772</c:v>
                </c:pt>
                <c:pt idx="355">
                  <c:v>110.401857818228</c:v>
                </c:pt>
                <c:pt idx="356">
                  <c:v>109.977059377526</c:v>
                </c:pt>
                <c:pt idx="357">
                  <c:v>109.559538585268</c:v>
                </c:pt>
                <c:pt idx="358">
                  <c:v>109.149264752239</c:v>
                </c:pt>
                <c:pt idx="359">
                  <c:v>108.746201204643</c:v>
                </c:pt>
                <c:pt idx="360">
                  <c:v>108.350305660364</c:v>
                </c:pt>
                <c:pt idx="361">
                  <c:v>107.961530597145</c:v>
                </c:pt>
                <c:pt idx="362">
                  <c:v>107.579823611761</c:v>
                </c:pt>
                <c:pt idx="363">
                  <c:v>107.205127769364</c:v>
                </c:pt>
                <c:pt idx="364">
                  <c:v>106.837381942341</c:v>
                </c:pt>
                <c:pt idx="365">
                  <c:v>106.476521138125</c:v>
                </c:pt>
                <c:pt idx="366">
                  <c:v>106.122476815522</c:v>
                </c:pt>
                <c:pt idx="367">
                  <c:v>105.775177189221</c:v>
                </c:pt>
                <c:pt idx="368">
                  <c:v>105.434547522247</c:v>
                </c:pt>
                <c:pt idx="369">
                  <c:v>105.100510406208</c:v>
                </c:pt>
                <c:pt idx="370">
                  <c:v>104.77298602926</c:v>
                </c:pt>
                <c:pt idx="371">
                  <c:v>104.451892431793</c:v>
                </c:pt>
                <c:pt idx="372">
                  <c:v>104.137145749905</c:v>
                </c:pt>
                <c:pt idx="373">
                  <c:v>103.828660446774</c:v>
                </c:pt>
                <c:pt idx="374">
                  <c:v>103.526349532102</c:v>
                </c:pt>
                <c:pt idx="375">
                  <c:v>103.230124769848</c:v>
                </c:pt>
                <c:pt idx="376">
                  <c:v>102.93989687448</c:v>
                </c:pt>
                <c:pt idx="377">
                  <c:v>102.655575696054</c:v>
                </c:pt>
                <c:pt idx="378">
                  <c:v>102.377070394396</c:v>
                </c:pt>
                <c:pt idx="379">
                  <c:v>102.104289602734</c:v>
                </c:pt>
                <c:pt idx="380">
                  <c:v>101.837141581117</c:v>
                </c:pt>
                <c:pt idx="381">
                  <c:v>101.575534359972</c:v>
                </c:pt>
                <c:pt idx="382">
                  <c:v>101.319375874178</c:v>
                </c:pt>
                <c:pt idx="383">
                  <c:v>101.068574088015</c:v>
                </c:pt>
                <c:pt idx="384">
                  <c:v>100.823037111373</c:v>
                </c:pt>
                <c:pt idx="385">
                  <c:v>100.582673307594</c:v>
                </c:pt>
                <c:pt idx="386">
                  <c:v>100.347391393324</c:v>
                </c:pt>
                <c:pt idx="387">
                  <c:v>100.11710053074</c:v>
                </c:pt>
                <c:pt idx="388">
                  <c:v>99.8917104125288</c:v>
                </c:pt>
                <c:pt idx="389">
                  <c:v>99.6711313399704</c:v>
                </c:pt>
                <c:pt idx="390">
                  <c:v>99.4552742944823</c:v>
                </c:pt>
                <c:pt idx="391">
                  <c:v>99.2440510029662</c:v>
                </c:pt>
                <c:pt idx="392">
                  <c:v>99.0373739972946</c:v>
                </c:pt>
                <c:pt idx="393">
                  <c:v>98.8351566682595</c:v>
                </c:pt>
                <c:pt idx="394">
                  <c:v>98.6373133142988</c:v>
                </c:pt>
                <c:pt idx="395">
                  <c:v>98.4437591853023</c:v>
                </c:pt>
                <c:pt idx="396">
                  <c:v>98.2544105217902</c:v>
                </c:pt>
                <c:pt idx="397">
                  <c:v>98.0691845897422</c:v>
                </c:pt>
                <c:pt idx="398">
                  <c:v>97.887999711349</c:v>
                </c:pt>
                <c:pt idx="399">
                  <c:v>97.7107752919402</c:v>
                </c:pt>
                <c:pt idx="400">
                  <c:v>97.5374318433375</c:v>
                </c:pt>
                <c:pt idx="401">
                  <c:v>97.3678910038649</c:v>
                </c:pt>
                <c:pt idx="402">
                  <c:v>97.2020755552416</c:v>
                </c:pt>
                <c:pt idx="403">
                  <c:v>97.0399094365689</c:v>
                </c:pt>
                <c:pt idx="404">
                  <c:v>96.8813177556118</c:v>
                </c:pt>
                <c:pt idx="405">
                  <c:v>96.7262267975702</c:v>
                </c:pt>
                <c:pt idx="406">
                  <c:v>96.5745640315169</c:v>
                </c:pt>
                <c:pt idx="407">
                  <c:v>96.426258114677</c:v>
                </c:pt>
                <c:pt idx="408">
                  <c:v>96.2812388947097</c:v>
                </c:pt>
                <c:pt idx="409">
                  <c:v>96.1394374101451</c:v>
                </c:pt>
                <c:pt idx="410">
                  <c:v>96.0007858891225</c:v>
                </c:pt>
                <c:pt idx="411">
                  <c:v>95.8652177465635</c:v>
                </c:pt>
                <c:pt idx="412">
                  <c:v>95.7326675799099</c:v>
                </c:pt>
                <c:pt idx="413">
                  <c:v>95.6030711635464</c:v>
                </c:pt>
                <c:pt idx="414">
                  <c:v>95.4763654420205</c:v>
                </c:pt>
                <c:pt idx="415">
                  <c:v>95.3524885221665</c:v>
                </c:pt>
                <c:pt idx="416">
                  <c:v>95.2313796642326</c:v>
                </c:pt>
                <c:pt idx="417">
                  <c:v>95.1129792721043</c:v>
                </c:pt>
                <c:pt idx="418">
                  <c:v>94.9972288827116</c:v>
                </c:pt>
                <c:pt idx="419">
                  <c:v>94.8840711547012</c:v>
                </c:pt>
                <c:pt idx="420">
                  <c:v>94.7734498564498</c:v>
                </c:pt>
                <c:pt idx="421">
                  <c:v>94.6653098534894</c:v>
                </c:pt>
                <c:pt idx="422">
                  <c:v>94.5595970954116</c:v>
                </c:pt>
                <c:pt idx="423">
                  <c:v>94.4562586023113</c:v>
                </c:pt>
                <c:pt idx="424">
                  <c:v>94.3552424508283</c:v>
                </c:pt>
                <c:pt idx="425">
                  <c:v>94.2564977598393</c:v>
                </c:pt>
                <c:pt idx="426">
                  <c:v>94.1599746758505</c:v>
                </c:pt>
                <c:pt idx="427">
                  <c:v>94.0656243581359</c:v>
                </c:pt>
                <c:pt idx="428">
                  <c:v>93.9733989636653</c:v>
                </c:pt>
                <c:pt idx="429">
                  <c:v>93.8832516318587</c:v>
                </c:pt>
                <c:pt idx="430">
                  <c:v>93.7951364692072</c:v>
                </c:pt>
                <c:pt idx="431">
                  <c:v>93.7090085337905</c:v>
                </c:pt>
                <c:pt idx="432">
                  <c:v>93.6248238197242</c:v>
                </c:pt>
                <c:pt idx="433">
                  <c:v>93.5425392415642</c:v>
                </c:pt>
                <c:pt idx="434">
                  <c:v>93.4621126186956</c:v>
                </c:pt>
                <c:pt idx="435">
                  <c:v>93.3835026597289</c:v>
                </c:pt>
                <c:pt idx="436">
                  <c:v>93.3066689469263</c:v>
                </c:pt>
                <c:pt idx="437">
                  <c:v>93.2315719206781</c:v>
                </c:pt>
                <c:pt idx="438">
                  <c:v>93.1581728640477</c:v>
                </c:pt>
                <c:pt idx="439">
                  <c:v>93.086433887402</c:v>
                </c:pt>
                <c:pt idx="440">
                  <c:v>93.0163179131415</c:v>
                </c:pt>
                <c:pt idx="441">
                  <c:v>92.9477886605461</c:v>
                </c:pt>
                <c:pt idx="442">
                  <c:v>92.8808106307466</c:v>
                </c:pt>
                <c:pt idx="443">
                  <c:v>92.8153490918344</c:v>
                </c:pt>
                <c:pt idx="444">
                  <c:v>92.7513700641197</c:v>
                </c:pt>
                <c:pt idx="445">
                  <c:v>92.688840305547</c:v>
                </c:pt>
                <c:pt idx="446">
                  <c:v>92.6277272972746</c:v>
                </c:pt>
                <c:pt idx="447">
                  <c:v>92.5679992294282</c:v>
                </c:pt>
                <c:pt idx="448">
                  <c:v>92.5096249870311</c:v>
                </c:pt>
                <c:pt idx="449">
                  <c:v>92.4525741361198</c:v>
                </c:pt>
                <c:pt idx="450">
                  <c:v>92.3968169100477</c:v>
                </c:pt>
                <c:pt idx="451">
                  <c:v>92.3423241959813</c:v>
                </c:pt>
                <c:pt idx="452">
                  <c:v>92.2890675215928</c:v>
                </c:pt>
                <c:pt idx="453">
                  <c:v>92.2370190419518</c:v>
                </c:pt>
                <c:pt idx="454">
                  <c:v>92.1861515266178</c:v>
                </c:pt>
                <c:pt idx="455">
                  <c:v>92.1364383469359</c:v>
                </c:pt>
                <c:pt idx="456">
                  <c:v>92.0878534635368</c:v>
                </c:pt>
                <c:pt idx="457">
                  <c:v>92.0403714140424</c:v>
                </c:pt>
                <c:pt idx="458">
                  <c:v>91.9939673009767</c:v>
                </c:pt>
                <c:pt idx="459">
                  <c:v>91.948616779883</c:v>
                </c:pt>
                <c:pt idx="460">
                  <c:v>91.904296047647</c:v>
                </c:pt>
                <c:pt idx="461">
                  <c:v>91.860981831025</c:v>
                </c:pt>
                <c:pt idx="462">
                  <c:v>91.8186513753775</c:v>
                </c:pt>
                <c:pt idx="463">
                  <c:v>91.7772824336058</c:v>
                </c:pt>
                <c:pt idx="464">
                  <c:v>91.736853255292</c:v>
                </c:pt>
                <c:pt idx="465">
                  <c:v>91.6973425760393</c:v>
                </c:pt>
                <c:pt idx="466">
                  <c:v>91.6587296070135</c:v>
                </c:pt>
                <c:pt idx="467">
                  <c:v>91.6209940246807</c:v>
                </c:pt>
                <c:pt idx="468">
                  <c:v>91.5841159607427</c:v>
                </c:pt>
                <c:pt idx="469">
                  <c:v>91.5480759922659</c:v>
                </c:pt>
                <c:pt idx="470">
                  <c:v>91.5128551320019</c:v>
                </c:pt>
                <c:pt idx="471">
                  <c:v>91.4784348188989</c:v>
                </c:pt>
                <c:pt idx="472">
                  <c:v>91.4447969087998</c:v>
                </c:pt>
                <c:pt idx="473">
                  <c:v>91.4119236653258</c:v>
                </c:pt>
                <c:pt idx="474">
                  <c:v>91.3797977509427</c:v>
                </c:pt>
                <c:pt idx="475">
                  <c:v>91.3484022182073</c:v>
                </c:pt>
                <c:pt idx="476">
                  <c:v>91.3177205011915</c:v>
                </c:pt>
                <c:pt idx="477">
                  <c:v>91.2877364070817</c:v>
                </c:pt>
                <c:pt idx="478">
                  <c:v>91.2584341079497</c:v>
                </c:pt>
                <c:pt idx="479">
                  <c:v>91.2297981326945</c:v>
                </c:pt>
                <c:pt idx="480">
                  <c:v>91.2018133591501</c:v>
                </c:pt>
                <c:pt idx="481">
                  <c:v>91.174465006358</c:v>
                </c:pt>
                <c:pt idx="482">
                  <c:v>91.1477386270014</c:v>
                </c:pt>
                <c:pt idx="483">
                  <c:v>91.1216200999981</c:v>
                </c:pt>
                <c:pt idx="484">
                  <c:v>91.0960956232496</c:v>
                </c:pt>
                <c:pt idx="485">
                  <c:v>91.0711517065431</c:v>
                </c:pt>
                <c:pt idx="486">
                  <c:v>91.0467751646054</c:v>
                </c:pt>
                <c:pt idx="487">
                  <c:v>91.0229531103031</c:v>
                </c:pt>
                <c:pt idx="488">
                  <c:v>90.9996729479897</c:v>
                </c:pt>
                <c:pt idx="489">
                  <c:v>90.976922366994</c:v>
                </c:pt>
                <c:pt idx="490">
                  <c:v>90.9546893352497</c:v>
                </c:pt>
                <c:pt idx="491">
                  <c:v>90.9329620930609</c:v>
                </c:pt>
                <c:pt idx="492">
                  <c:v>90.9117291470035</c:v>
                </c:pt>
                <c:pt idx="493">
                  <c:v>90.890979263958</c:v>
                </c:pt>
                <c:pt idx="494">
                  <c:v>90.8707014652723</c:v>
                </c:pt>
                <c:pt idx="495">
                  <c:v>90.8508850210513</c:v>
                </c:pt>
                <c:pt idx="496">
                  <c:v>90.8315194445708</c:v>
                </c:pt>
                <c:pt idx="497">
                  <c:v>90.8125944868139</c:v>
                </c:pt>
                <c:pt idx="498">
                  <c:v>90.794100131127</c:v>
                </c:pt>
                <c:pt idx="499">
                  <c:v>90.7760265879921</c:v>
                </c:pt>
                <c:pt idx="500">
                  <c:v>90.7583642899154</c:v>
                </c:pt>
                <c:pt idx="501">
                  <c:v>90.7411038864273</c:v>
                </c:pt>
                <c:pt idx="502">
                  <c:v>90.7242362391927</c:v>
                </c:pt>
                <c:pt idx="503">
                  <c:v>90.7077524172301</c:v>
                </c:pt>
                <c:pt idx="504">
                  <c:v>90.6916436922348</c:v>
                </c:pt>
                <c:pt idx="505">
                  <c:v>90.6759015340075</c:v>
                </c:pt>
                <c:pt idx="506">
                  <c:v>90.6605176059825</c:v>
                </c:pt>
                <c:pt idx="507">
                  <c:v>90.6454837608564</c:v>
                </c:pt>
                <c:pt idx="508">
                  <c:v>90.6307920363132</c:v>
                </c:pt>
                <c:pt idx="509">
                  <c:v>90.6164346508446</c:v>
                </c:pt>
                <c:pt idx="510">
                  <c:v>90.6024039996637</c:v>
                </c:pt>
                <c:pt idx="511">
                  <c:v>90.5886926507092</c:v>
                </c:pt>
                <c:pt idx="512">
                  <c:v>90.5752933407395</c:v>
                </c:pt>
                <c:pt idx="513">
                  <c:v>90.5621989715129</c:v>
                </c:pt>
                <c:pt idx="514">
                  <c:v>90.5494026060545</c:v>
                </c:pt>
                <c:pt idx="515">
                  <c:v>90.5368974650058</c:v>
                </c:pt>
                <c:pt idx="516">
                  <c:v>90.5246769230557</c:v>
                </c:pt>
                <c:pt idx="517">
                  <c:v>90.5127345054526</c:v>
                </c:pt>
                <c:pt idx="518">
                  <c:v>90.5010638845936</c:v>
                </c:pt>
                <c:pt idx="519">
                  <c:v>90.4896588766906</c:v>
                </c:pt>
                <c:pt idx="520">
                  <c:v>90.4785134385117</c:v>
                </c:pt>
                <c:pt idx="521">
                  <c:v>90.4676216641947</c:v>
                </c:pt>
                <c:pt idx="522">
                  <c:v>90.4569777821337</c:v>
                </c:pt>
                <c:pt idx="523">
                  <c:v>90.4465761519343</c:v>
                </c:pt>
                <c:pt idx="524">
                  <c:v>90.4364112614382</c:v>
                </c:pt>
                <c:pt idx="525">
                  <c:v>90.4264777238145</c:v>
                </c:pt>
                <c:pt idx="526">
                  <c:v>90.4167702747166</c:v>
                </c:pt>
                <c:pt idx="527">
                  <c:v>90.4072837695031</c:v>
                </c:pt>
                <c:pt idx="528">
                  <c:v>90.3980131805211</c:v>
                </c:pt>
                <c:pt idx="529">
                  <c:v>90.3889535944518</c:v>
                </c:pt>
                <c:pt idx="530">
                  <c:v>90.3801002097145</c:v>
                </c:pt>
                <c:pt idx="531">
                  <c:v>90.3714483339301</c:v>
                </c:pt>
                <c:pt idx="532">
                  <c:v>90.3629933814422</c:v>
                </c:pt>
                <c:pt idx="533">
                  <c:v>90.3547308708932</c:v>
                </c:pt>
                <c:pt idx="534">
                  <c:v>90.3466564228563</c:v>
                </c:pt>
                <c:pt idx="535">
                  <c:v>90.3387657575197</c:v>
                </c:pt>
                <c:pt idx="536">
                  <c:v>90.3310546924246</c:v>
                </c:pt>
                <c:pt idx="537">
                  <c:v>90.3235191402535</c:v>
                </c:pt>
                <c:pt idx="538">
                  <c:v>90.3161551066685</c:v>
                </c:pt>
                <c:pt idx="539">
                  <c:v>90.3089586881989</c:v>
                </c:pt>
                <c:pt idx="540">
                  <c:v>90.3019260701768</c:v>
                </c:pt>
                <c:pt idx="541">
                  <c:v>90.2950535247185</c:v>
                </c:pt>
              </c:numCache>
            </c:numRef>
          </c:yVal>
          <c:smooth val="1"/>
        </c:ser>
        <c:dLbls>
          <c:showLegendKey val="0"/>
          <c:showVal val="0"/>
          <c:showCatName val="0"/>
          <c:showSerName val="0"/>
          <c:showPercent val="0"/>
          <c:showBubbleSize val="0"/>
        </c:dLbls>
        <c:axId val="175568384"/>
        <c:axId val="175566848"/>
      </c:scatterChart>
      <c:valAx>
        <c:axId val="175558656"/>
        <c:scaling>
          <c:logBase val="10"/>
          <c:orientation val="minMax"/>
          <c:max val="2200000"/>
          <c:min val="10"/>
        </c:scaling>
        <c:delete val="0"/>
        <c:axPos val="b"/>
        <c:minorGridlines/>
        <c:title>
          <c:tx>
            <c:rich>
              <a:bodyPr rot="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Frequency</a:t>
                </a:r>
                <a:r>
                  <a:rPr lang="en-US" baseline="0"/>
                  <a:t> (Hz)</a:t>
                </a:r>
                <a:endParaRPr lang="en-US"/>
              </a:p>
            </c:rich>
          </c:tx>
          <c:layout/>
          <c:overlay val="0"/>
        </c:title>
        <c:numFmt formatCode="0" sourceLinked="0"/>
        <c:majorTickMark val="out"/>
        <c:minorTickMark val="none"/>
        <c:tickLblPos val="low"/>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560576"/>
        <c:crosses val="autoZero"/>
        <c:crossBetween val="midCat"/>
      </c:valAx>
      <c:valAx>
        <c:axId val="175560576"/>
        <c:scaling>
          <c:orientation val="minMax"/>
          <c:max val="40"/>
          <c:min val="-40"/>
        </c:scaling>
        <c:delete val="0"/>
        <c:axPos val="l"/>
        <c:majorGridlines/>
        <c:minorGridlines/>
        <c:title>
          <c:tx>
            <c:rich>
              <a:bodyPr rot="-540000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Gain</a:t>
                </a:r>
                <a:r>
                  <a:rPr lang="en-US" baseline="0"/>
                  <a:t> (dB)</a:t>
                </a:r>
                <a:endParaRPr lang="en-US"/>
              </a:p>
            </c:rich>
          </c:tx>
          <c:layout/>
          <c:overlay val="0"/>
        </c:title>
        <c:numFmt formatCode="General" sourceLinked="0"/>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558656"/>
        <c:crosses val="autoZero"/>
        <c:crossBetween val="midCat"/>
        <c:majorUnit val="20"/>
        <c:minorUnit val="10"/>
      </c:valAx>
      <c:valAx>
        <c:axId val="175568384"/>
        <c:scaling>
          <c:logBase val="10"/>
          <c:orientation val="minMax"/>
        </c:scaling>
        <c:delete val="1"/>
        <c:axPos val="b"/>
        <c:numFmt formatCode="0.00"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566848"/>
        <c:crosses val="autoZero"/>
        <c:crossBetween val="midCat"/>
      </c:valAx>
      <c:valAx>
        <c:axId val="175566848"/>
        <c:scaling>
          <c:orientation val="minMax"/>
          <c:max val="180"/>
          <c:min val="-180"/>
        </c:scaling>
        <c:delete val="0"/>
        <c:axPos val="r"/>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568384"/>
        <c:crosses val="max"/>
        <c:crossBetween val="midCat"/>
        <c:majorUnit val="90"/>
        <c:minorUnit val="45"/>
      </c:valAx>
    </c:plotArea>
    <c:legend>
      <c:legendPos val="r"/>
      <c:layout>
        <c:manualLayout>
          <c:xMode val="edge"/>
          <c:yMode val="edge"/>
          <c:x val="0.798805582095125"/>
          <c:y val="0.14321997959862"/>
          <c:w val="0.134850481555914"/>
          <c:h val="0.105286249699137"/>
        </c:manualLayout>
      </c:layout>
      <c:overlay val="1"/>
      <c:spPr>
        <a:solidFill>
          <a:schemeClr val="bg1"/>
        </a:solidFill>
      </c:spPr>
      <c:txPr>
        <a:bodyPr rot="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51ba628-39a9-4006-b0f5-1dd1637f385b}"/>
      </c:ext>
    </c:extLst>
  </c:chart>
  <c:txPr>
    <a:bodyPr/>
    <a:lstStyle/>
    <a:p>
      <a:pPr>
        <a:defRPr lang="pl-PL"/>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pl-PL" sz="1800" b="1" i="0" u="none" strike="noStrike" kern="1200" baseline="0">
                <a:solidFill>
                  <a:schemeClr val="tx1"/>
                </a:solidFill>
                <a:latin typeface="+mn-lt"/>
                <a:ea typeface="+mn-ea"/>
                <a:cs typeface="+mn-cs"/>
              </a:defRPr>
            </a:pPr>
            <a:r>
              <a:rPr lang="en-US" baseline="0"/>
              <a:t>CCM Control Loop Transfer Function</a:t>
            </a:r>
            <a:endParaRPr lang="en-US" baseline="0"/>
          </a:p>
        </c:rich>
      </c:tx>
      <c:layout/>
      <c:overlay val="0"/>
    </c:title>
    <c:autoTitleDeleted val="0"/>
    <c:plotArea>
      <c:layout/>
      <c:scatterChart>
        <c:scatterStyle val="smooth"/>
        <c:varyColors val="0"/>
        <c:ser>
          <c:idx val="0"/>
          <c:order val="0"/>
          <c:tx>
            <c:strRef>
              <c:f>"Gain (dB)"</c:f>
              <c:strCache>
                <c:ptCount val="1"/>
                <c:pt idx="0">
                  <c:v>Gain (dB)</c:v>
                </c:pt>
              </c:strCache>
            </c:strRef>
          </c:tx>
          <c:spPr>
            <a:ln w="38100" cap="rnd" cmpd="sng" algn="ctr">
              <a:solidFill>
                <a:srgbClr val="FF0000"/>
              </a:solidFill>
              <a:prstDash val="solid"/>
              <a:round/>
            </a:ln>
          </c:spPr>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Loop_Modeling!$BG$19:$BG$560</c:f>
              <c:numCache>
                <c:formatCode>0.000</c:formatCode>
                <c:ptCount val="542"/>
                <c:pt idx="0">
                  <c:v>65.1367453381581</c:v>
                </c:pt>
                <c:pt idx="1">
                  <c:v>64.9355046316535</c:v>
                </c:pt>
                <c:pt idx="2">
                  <c:v>64.7342059887021</c:v>
                </c:pt>
                <c:pt idx="3">
                  <c:v>64.5328467301449</c:v>
                </c:pt>
                <c:pt idx="4">
                  <c:v>64.3314240554434</c:v>
                </c:pt>
                <c:pt idx="5">
                  <c:v>64.1299350374217</c:v>
                </c:pt>
                <c:pt idx="6">
                  <c:v>63.9283766168029</c:v>
                </c:pt>
                <c:pt idx="7">
                  <c:v>63.7267455965363</c:v>
                </c:pt>
                <c:pt idx="8">
                  <c:v>63.5250386359078</c:v>
                </c:pt>
                <c:pt idx="9">
                  <c:v>63.3232522444295</c:v>
                </c:pt>
                <c:pt idx="10">
                  <c:v>63.1213827755029</c:v>
                </c:pt>
                <c:pt idx="11">
                  <c:v>62.9194264198493</c:v>
                </c:pt>
                <c:pt idx="12">
                  <c:v>62.7173791987052</c:v>
                </c:pt>
                <c:pt idx="13">
                  <c:v>62.5152369567749</c:v>
                </c:pt>
                <c:pt idx="14">
                  <c:v>62.3129953549392</c:v>
                </c:pt>
                <c:pt idx="15">
                  <c:v>62.1106498627138</c:v>
                </c:pt>
                <c:pt idx="16">
                  <c:v>61.9081957504568</c:v>
                </c:pt>
                <c:pt idx="17">
                  <c:v>61.7056280813194</c:v>
                </c:pt>
                <c:pt idx="18">
                  <c:v>61.5029417029411</c:v>
                </c:pt>
                <c:pt idx="19">
                  <c:v>61.3001312388853</c:v>
                </c:pt>
                <c:pt idx="20">
                  <c:v>61.0971910798167</c:v>
                </c:pt>
                <c:pt idx="21">
                  <c:v>60.8941153744207</c:v>
                </c:pt>
                <c:pt idx="22">
                  <c:v>60.6908980200645</c:v>
                </c:pt>
                <c:pt idx="23">
                  <c:v>60.4875326532056</c:v>
                </c:pt>
                <c:pt idx="24">
                  <c:v>60.2840126395506</c:v>
                </c:pt>
                <c:pt idx="25">
                  <c:v>60.0803310639679</c:v>
                </c:pt>
                <c:pt idx="26">
                  <c:v>59.8764807201651</c:v>
                </c:pt>
                <c:pt idx="27">
                  <c:v>59.6724541001376</c:v>
                </c:pt>
                <c:pt idx="28">
                  <c:v>59.4682433833996</c:v>
                </c:pt>
                <c:pt idx="29">
                  <c:v>59.2638404260129</c:v>
                </c:pt>
                <c:pt idx="30">
                  <c:v>59.059236749426</c:v>
                </c:pt>
                <c:pt idx="31">
                  <c:v>58.8544235291441</c:v>
                </c:pt>
                <c:pt idx="32">
                  <c:v>58.6493915832504</c:v>
                </c:pt>
                <c:pt idx="33">
                  <c:v>58.4441313608025</c:v>
                </c:pt>
                <c:pt idx="34">
                  <c:v>58.2386329301322</c:v>
                </c:pt>
                <c:pt idx="35">
                  <c:v>58.0328859670798</c:v>
                </c:pt>
                <c:pt idx="36">
                  <c:v>57.8268797431969</c:v>
                </c:pt>
                <c:pt idx="37">
                  <c:v>57.6206031139597</c:v>
                </c:pt>
                <c:pt idx="38">
                  <c:v>57.4140445070329</c:v>
                </c:pt>
                <c:pt idx="39">
                  <c:v>57.2071919106373</c:v>
                </c:pt>
                <c:pt idx="40">
                  <c:v>57.0000328620705</c:v>
                </c:pt>
                <c:pt idx="41">
                  <c:v>56.7925544364439</c:v>
                </c:pt>
                <c:pt idx="42">
                  <c:v>56.5847432356984</c:v>
                </c:pt>
                <c:pt idx="43">
                  <c:v>56.3765853779718</c:v>
                </c:pt>
                <c:pt idx="44">
                  <c:v>56.1680664873942</c:v>
                </c:pt>
                <c:pt idx="45">
                  <c:v>55.9591716843971</c:v>
                </c:pt>
                <c:pt idx="46">
                  <c:v>55.7498855766273</c:v>
                </c:pt>
                <c:pt idx="47">
                  <c:v>55.5401922505634</c:v>
                </c:pt>
                <c:pt idx="48">
                  <c:v>55.3300752639431</c:v>
                </c:pt>
                <c:pt idx="49">
                  <c:v>55.1195176391142</c:v>
                </c:pt>
                <c:pt idx="50">
                  <c:v>54.9085018574317</c:v>
                </c:pt>
                <c:pt idx="51">
                  <c:v>54.6970098548323</c:v>
                </c:pt>
                <c:pt idx="52">
                  <c:v>54.4850230187223</c:v>
                </c:pt>
                <c:pt idx="53">
                  <c:v>54.2725221863293</c:v>
                </c:pt>
                <c:pt idx="54">
                  <c:v>54.0594876446684</c:v>
                </c:pt>
                <c:pt idx="55">
                  <c:v>53.8458991322888</c:v>
                </c:pt>
                <c:pt idx="56">
                  <c:v>53.6317358429697</c:v>
                </c:pt>
                <c:pt idx="57">
                  <c:v>53.4169764315428</c:v>
                </c:pt>
                <c:pt idx="58">
                  <c:v>53.2015990220276</c:v>
                </c:pt>
                <c:pt idx="59">
                  <c:v>52.9855812182677</c:v>
                </c:pt>
                <c:pt idx="60">
                  <c:v>52.7689001172665</c:v>
                </c:pt>
                <c:pt idx="61">
                  <c:v>52.5515323254206</c:v>
                </c:pt>
                <c:pt idx="62">
                  <c:v>52.3334539778551</c:v>
                </c:pt>
                <c:pt idx="63">
                  <c:v>52.1146407610663</c:v>
                </c:pt>
                <c:pt idx="64">
                  <c:v>51.8950679390766</c:v>
                </c:pt>
                <c:pt idx="65">
                  <c:v>51.674710383306</c:v>
                </c:pt>
                <c:pt idx="66">
                  <c:v>51.4535426063611</c:v>
                </c:pt>
                <c:pt idx="67">
                  <c:v>51.2315387999344</c:v>
                </c:pt>
                <c:pt idx="68">
                  <c:v>51.0086728770034</c:v>
                </c:pt>
                <c:pt idx="69">
                  <c:v>50.7849185185021</c:v>
                </c:pt>
                <c:pt idx="70">
                  <c:v>50.5602492246289</c:v>
                </c:pt>
                <c:pt idx="71">
                  <c:v>50.3346383709347</c:v>
                </c:pt>
                <c:pt idx="72">
                  <c:v>50.1080592693166</c:v>
                </c:pt>
                <c:pt idx="73">
                  <c:v>49.8804852340182</c:v>
                </c:pt>
                <c:pt idx="74">
                  <c:v>49.6518896527107</c:v>
                </c:pt>
                <c:pt idx="75">
                  <c:v>49.4222460626977</c:v>
                </c:pt>
                <c:pt idx="76">
                  <c:v>49.191528232253</c:v>
                </c:pt>
                <c:pt idx="77">
                  <c:v>48.9597102470605</c:v>
                </c:pt>
                <c:pt idx="78">
                  <c:v>48.7267666016854</c:v>
                </c:pt>
                <c:pt idx="79">
                  <c:v>48.4926722959592</c:v>
                </c:pt>
                <c:pt idx="80">
                  <c:v>48.2574029361121</c:v>
                </c:pt>
                <c:pt idx="81">
                  <c:v>48.0209348404342</c:v>
                </c:pt>
                <c:pt idx="82">
                  <c:v>47.7832451491929</c:v>
                </c:pt>
                <c:pt idx="83">
                  <c:v>47.5443119384766</c:v>
                </c:pt>
                <c:pt idx="84">
                  <c:v>47.3041143375752</c:v>
                </c:pt>
                <c:pt idx="85">
                  <c:v>47.0626326494483</c:v>
                </c:pt>
                <c:pt idx="86">
                  <c:v>46.8198484737729</c:v>
                </c:pt>
                <c:pt idx="87">
                  <c:v>46.5757448319986</c:v>
                </c:pt>
                <c:pt idx="88">
                  <c:v>46.3303062937841</c:v>
                </c:pt>
                <c:pt idx="89">
                  <c:v>46.0835191041266</c:v>
                </c:pt>
                <c:pt idx="90">
                  <c:v>45.8353713104453</c:v>
                </c:pt>
                <c:pt idx="91">
                  <c:v>45.5858528888278</c:v>
                </c:pt>
                <c:pt idx="92">
                  <c:v>45.334955868604</c:v>
                </c:pt>
                <c:pt idx="93">
                  <c:v>45.0826744543705</c:v>
                </c:pt>
                <c:pt idx="94">
                  <c:v>44.8290051445577</c:v>
                </c:pt>
                <c:pt idx="95">
                  <c:v>44.5739468456066</c:v>
                </c:pt>
                <c:pt idx="96">
                  <c:v>44.3175009808024</c:v>
                </c:pt>
                <c:pt idx="97">
                  <c:v>44.0596715928092</c:v>
                </c:pt>
                <c:pt idx="98">
                  <c:v>43.8004654389472</c:v>
                </c:pt>
                <c:pt idx="99">
                  <c:v>43.5398920782709</c:v>
                </c:pt>
                <c:pt idx="100">
                  <c:v>43.2779639495256</c:v>
                </c:pt>
                <c:pt idx="101">
                  <c:v>43.0146964390956</c:v>
                </c:pt>
                <c:pt idx="102">
                  <c:v>42.7501079381027</c:v>
                </c:pt>
                <c:pt idx="103">
                  <c:v>42.4842198878629</c:v>
                </c:pt>
                <c:pt idx="104">
                  <c:v>42.2170568129818</c:v>
                </c:pt>
                <c:pt idx="105">
                  <c:v>41.9486463414363</c:v>
                </c:pt>
                <c:pt idx="106">
                  <c:v>41.6790192110783</c:v>
                </c:pt>
                <c:pt idx="107">
                  <c:v>41.4082092620844</c:v>
                </c:pt>
                <c:pt idx="108">
                  <c:v>41.1362534149715</c:v>
                </c:pt>
                <c:pt idx="109">
                  <c:v>40.8631916339095</c:v>
                </c:pt>
                <c:pt idx="110">
                  <c:v>40.5890668751596</c:v>
                </c:pt>
                <c:pt idx="111">
                  <c:v>40.3139250205861</c:v>
                </c:pt>
                <c:pt idx="112">
                  <c:v>40.0378147963018</c:v>
                </c:pt>
                <c:pt idx="113">
                  <c:v>39.7607876766165</c:v>
                </c:pt>
                <c:pt idx="114">
                  <c:v>39.4828977735797</c:v>
                </c:pt>
                <c:pt idx="115">
                  <c:v>39.2042017125109</c:v>
                </c:pt>
                <c:pt idx="116">
                  <c:v>38.92475849403</c:v>
                </c:pt>
                <c:pt idx="117">
                  <c:v>38.6446293431955</c:v>
                </c:pt>
                <c:pt idx="118">
                  <c:v>38.3638775464661</c:v>
                </c:pt>
                <c:pt idx="119">
                  <c:v>38.082568277289</c:v>
                </c:pt>
                <c:pt idx="120">
                  <c:v>37.8007684112107</c:v>
                </c:pt>
                <c:pt idx="121">
                  <c:v>37.518546331481</c:v>
                </c:pt>
                <c:pt idx="122">
                  <c:v>37.2359717261978</c:v>
                </c:pt>
                <c:pt idx="123">
                  <c:v>36.9531153781022</c:v>
                </c:pt>
                <c:pt idx="124">
                  <c:v>36.6700489481851</c:v>
                </c:pt>
                <c:pt idx="125">
                  <c:v>36.3868447543191</c:v>
                </c:pt>
                <c:pt idx="126">
                  <c:v>36.1035755461622</c:v>
                </c:pt>
                <c:pt idx="127">
                  <c:v>35.8203142776068</c:v>
                </c:pt>
                <c:pt idx="128">
                  <c:v>35.537133878068</c:v>
                </c:pt>
                <c:pt idx="129">
                  <c:v>35.2541070239128</c:v>
                </c:pt>
                <c:pt idx="130">
                  <c:v>34.9713059113301</c:v>
                </c:pt>
                <c:pt idx="131">
                  <c:v>34.6888020319317</c:v>
                </c:pt>
                <c:pt idx="132">
                  <c:v>34.4066659523536</c:v>
                </c:pt>
                <c:pt idx="133">
                  <c:v>34.1249670990981</c:v>
                </c:pt>
                <c:pt idx="134">
                  <c:v>33.8437735498181</c:v>
                </c:pt>
                <c:pt idx="135">
                  <c:v>33.5631518321964</c:v>
                </c:pt>
                <c:pt idx="136">
                  <c:v>33.2831667315164</c:v>
                </c:pt>
                <c:pt idx="137">
                  <c:v>33.0038811079548</c:v>
                </c:pt>
                <c:pt idx="138">
                  <c:v>32.7253557245535</c:v>
                </c:pt>
                <c:pt idx="139">
                  <c:v>32.447649086745</c:v>
                </c:pt>
                <c:pt idx="140">
                  <c:v>32.1708172942184</c:v>
                </c:pt>
                <c:pt idx="141">
                  <c:v>31.8949139058165</c:v>
                </c:pt>
                <c:pt idx="142">
                  <c:v>31.6199898180546</c:v>
                </c:pt>
                <c:pt idx="143">
                  <c:v>31.3460931577448</c:v>
                </c:pt>
                <c:pt idx="144">
                  <c:v>31.0732691891</c:v>
                </c:pt>
                <c:pt idx="145">
                  <c:v>30.8015602355813</c:v>
                </c:pt>
                <c:pt idx="146">
                  <c:v>30.5310056166352</c:v>
                </c:pt>
                <c:pt idx="147">
                  <c:v>30.2616415993569</c:v>
                </c:pt>
                <c:pt idx="148">
                  <c:v>29.9935013649994</c:v>
                </c:pt>
                <c:pt idx="149">
                  <c:v>29.7266149901398</c:v>
                </c:pt>
                <c:pt idx="150">
                  <c:v>29.4610094422054</c:v>
                </c:pt>
                <c:pt idx="151">
                  <c:v>29.1967085889606</c:v>
                </c:pt>
                <c:pt idx="152">
                  <c:v>28.9337332214587</c:v>
                </c:pt>
                <c:pt idx="153">
                  <c:v>28.672101089874</c:v>
                </c:pt>
                <c:pt idx="154">
                  <c:v>28.4118269515478</c:v>
                </c:pt>
                <c:pt idx="155">
                  <c:v>28.1529226305105</c:v>
                </c:pt>
                <c:pt idx="156">
                  <c:v>27.8953970876777</c:v>
                </c:pt>
                <c:pt idx="157">
                  <c:v>27.6392565008681</c:v>
                </c:pt>
                <c:pt idx="158">
                  <c:v>27.3845043537474</c:v>
                </c:pt>
                <c:pt idx="159">
                  <c:v>27.131141532771</c:v>
                </c:pt>
                <c:pt idx="160">
                  <c:v>26.8791664311787</c:v>
                </c:pt>
                <c:pt idx="161">
                  <c:v>26.6285750590838</c:v>
                </c:pt>
                <c:pt idx="162">
                  <c:v>26.3793611586994</c:v>
                </c:pt>
                <c:pt idx="163">
                  <c:v>26.1315163237535</c:v>
                </c:pt>
                <c:pt idx="164">
                  <c:v>25.885030122164</c:v>
                </c:pt>
                <c:pt idx="165">
                  <c:v>25.6398902210722</c:v>
                </c:pt>
                <c:pt idx="166">
                  <c:v>25.3960825133655</c:v>
                </c:pt>
                <c:pt idx="167">
                  <c:v>25.1535912448635</c:v>
                </c:pt>
                <c:pt idx="168">
                  <c:v>24.9123991413882</c:v>
                </c:pt>
                <c:pt idx="169">
                  <c:v>24.6724875349866</c:v>
                </c:pt>
                <c:pt idx="170">
                  <c:v>24.433836488635</c:v>
                </c:pt>
                <c:pt idx="171">
                  <c:v>24.196424918806</c:v>
                </c:pt>
                <c:pt idx="172">
                  <c:v>23.9602307153434</c:v>
                </c:pt>
                <c:pt idx="173">
                  <c:v>23.7252308581457</c:v>
                </c:pt>
                <c:pt idx="174">
                  <c:v>23.4914015302261</c:v>
                </c:pt>
                <c:pt idx="175">
                  <c:v>23.258718226768</c:v>
                </c:pt>
                <c:pt idx="176">
                  <c:v>23.0271558598623</c:v>
                </c:pt>
                <c:pt idx="177">
                  <c:v>22.7966888586626</c:v>
                </c:pt>
                <c:pt idx="178">
                  <c:v>22.5672912647525</c:v>
                </c:pt>
                <c:pt idx="179">
                  <c:v>22.338936822569</c:v>
                </c:pt>
                <c:pt idx="180">
                  <c:v>22.1115990647743</c:v>
                </c:pt>
                <c:pt idx="181">
                  <c:v>21.8852513925139</c:v>
                </c:pt>
                <c:pt idx="182">
                  <c:v>21.6598671505387</c:v>
                </c:pt>
                <c:pt idx="183">
                  <c:v>21.4354196972077</c:v>
                </c:pt>
                <c:pt idx="184">
                  <c:v>21.2118824694206</c:v>
                </c:pt>
                <c:pt idx="185">
                  <c:v>20.9892290425607</c:v>
                </c:pt>
                <c:pt idx="186">
                  <c:v>20.7674331855529</c:v>
                </c:pt>
                <c:pt idx="187">
                  <c:v>20.5464689111678</c:v>
                </c:pt>
                <c:pt idx="188">
                  <c:v>20.3263105217174</c:v>
                </c:pt>
                <c:pt idx="189">
                  <c:v>20.1069326503096</c:v>
                </c:pt>
                <c:pt idx="190">
                  <c:v>19.8883102978368</c:v>
                </c:pt>
                <c:pt idx="191">
                  <c:v>19.670418865887</c:v>
                </c:pt>
                <c:pt idx="192">
                  <c:v>19.4532341857733</c:v>
                </c:pt>
                <c:pt idx="193">
                  <c:v>19.23673254388</c:v>
                </c:pt>
                <c:pt idx="194">
                  <c:v>19.0208907035315</c:v>
                </c:pt>
                <c:pt idx="195">
                  <c:v>18.8056859235853</c:v>
                </c:pt>
                <c:pt idx="196">
                  <c:v>18.5910959739553</c:v>
                </c:pt>
                <c:pt idx="197">
                  <c:v>18.3770991482648</c:v>
                </c:pt>
                <c:pt idx="198">
                  <c:v>18.1636742738271</c:v>
                </c:pt>
                <c:pt idx="199">
                  <c:v>17.9508007191488</c:v>
                </c:pt>
                <c:pt idx="200">
                  <c:v>17.7384583991391</c:v>
                </c:pt>
                <c:pt idx="201">
                  <c:v>17.5266277782101</c:v>
                </c:pt>
                <c:pt idx="202">
                  <c:v>17.3152898714392</c:v>
                </c:pt>
                <c:pt idx="203">
                  <c:v>17.1044262439601</c:v>
                </c:pt>
                <c:pt idx="204">
                  <c:v>16.8940190087409</c:v>
                </c:pt>
                <c:pt idx="205">
                  <c:v>16.6840508228989</c:v>
                </c:pt>
                <c:pt idx="206">
                  <c:v>16.4745048826941</c:v>
                </c:pt>
                <c:pt idx="207">
                  <c:v>16.2653649173332</c:v>
                </c:pt>
                <c:pt idx="208">
                  <c:v>16.0566151817081</c:v>
                </c:pt>
                <c:pt idx="209">
                  <c:v>15.8482404481879</c:v>
                </c:pt>
                <c:pt idx="210">
                  <c:v>15.6402259975676</c:v>
                </c:pt>
                <c:pt idx="211">
                  <c:v>15.4325576092764</c:v>
                </c:pt>
                <c:pt idx="212">
                  <c:v>15.2252215509354</c:v>
                </c:pt>
                <c:pt idx="213">
                  <c:v>15.018204567348</c:v>
                </c:pt>
                <c:pt idx="214">
                  <c:v>14.8114938690015</c:v>
                </c:pt>
                <c:pt idx="215">
                  <c:v>14.6050771201452</c:v>
                </c:pt>
                <c:pt idx="216">
                  <c:v>14.3989424265108</c:v>
                </c:pt>
                <c:pt idx="217">
                  <c:v>14.1930783227269</c:v>
                </c:pt>
                <c:pt idx="218">
                  <c:v>13.9874737594794</c:v>
                </c:pt>
                <c:pt idx="219">
                  <c:v>13.7821180904583</c:v>
                </c:pt>
                <c:pt idx="220">
                  <c:v>13.5770010591304</c:v>
                </c:pt>
                <c:pt idx="221">
                  <c:v>13.3721127853648</c:v>
                </c:pt>
                <c:pt idx="222">
                  <c:v>13.1674437519442</c:v>
                </c:pt>
                <c:pt idx="223">
                  <c:v>12.9629847909757</c:v>
                </c:pt>
                <c:pt idx="224">
                  <c:v>12.7587270702234</c:v>
                </c:pt>
                <c:pt idx="225">
                  <c:v>12.5546620793704</c:v>
                </c:pt>
                <c:pt idx="226">
                  <c:v>12.3507816162217</c:v>
                </c:pt>
                <c:pt idx="227">
                  <c:v>12.1470777728479</c:v>
                </c:pt>
                <c:pt idx="228">
                  <c:v>11.9435429216711</c:v>
                </c:pt>
                <c:pt idx="229">
                  <c:v>11.7401697014907</c:v>
                </c:pt>
                <c:pt idx="230">
                  <c:v>11.5369510034383</c:v>
                </c:pt>
                <c:pt idx="231">
                  <c:v>11.3338799568554</c:v>
                </c:pt>
                <c:pt idx="232">
                  <c:v>11.1309499150764</c:v>
                </c:pt>
                <c:pt idx="233">
                  <c:v>10.9281544411042</c:v>
                </c:pt>
                <c:pt idx="234">
                  <c:v>10.7254872931582</c:v>
                </c:pt>
                <c:pt idx="235">
                  <c:v>10.5229424100739</c:v>
                </c:pt>
                <c:pt idx="236">
                  <c:v>10.3205138965299</c:v>
                </c:pt>
                <c:pt idx="237">
                  <c:v>10.1181960080807</c:v>
                </c:pt>
                <c:pt idx="238">
                  <c:v>9.91598313596466</c:v>
                </c:pt>
                <c:pt idx="239">
                  <c:v>9.71386979166191</c:v>
                </c:pt>
                <c:pt idx="240">
                  <c:v>9.51185059117287</c:v>
                </c:pt>
                <c:pt idx="241">
                  <c:v>9.30992023898781</c:v>
                </c:pt>
                <c:pt idx="242">
                  <c:v>9.10807351171723</c:v>
                </c:pt>
                <c:pt idx="243">
                  <c:v>8.90630524135463</c:v>
                </c:pt>
                <c:pt idx="244">
                  <c:v>8.70461029814092</c:v>
                </c:pt>
                <c:pt idx="245">
                  <c:v>8.50298357300498</c:v>
                </c:pt>
                <c:pt idx="246">
                  <c:v>8.30141995955161</c:v>
                </c:pt>
                <c:pt idx="247">
                  <c:v>8.09991433557448</c:v>
                </c:pt>
                <c:pt idx="248">
                  <c:v>7.89846154407334</c:v>
                </c:pt>
                <c:pt idx="249">
                  <c:v>7.69705637375615</c:v>
                </c:pt>
                <c:pt idx="250">
                  <c:v>7.49569353901725</c:v>
                </c:pt>
                <c:pt idx="251">
                  <c:v>7.29436765937944</c:v>
                </c:pt>
                <c:pt idx="252">
                  <c:v>7.0930732384045</c:v>
                </c:pt>
                <c:pt idx="253">
                  <c:v>6.89180464207409</c:v>
                </c:pt>
                <c:pt idx="254">
                  <c:v>6.69055607665894</c:v>
                </c:pt>
                <c:pt idx="255">
                  <c:v>6.48932156610204</c:v>
                </c:pt>
                <c:pt idx="256">
                  <c:v>6.28809492894875</c:v>
                </c:pt>
                <c:pt idx="257">
                  <c:v>6.08686975487465</c:v>
                </c:pt>
                <c:pt idx="258">
                  <c:v>5.88563938087382</c:v>
                </c:pt>
                <c:pt idx="259">
                  <c:v>5.68439686718144</c:v>
                </c:pt>
                <c:pt idx="260">
                  <c:v>5.4831349730276</c:v>
                </c:pt>
                <c:pt idx="261">
                  <c:v>5.28184613233081</c:v>
                </c:pt>
                <c:pt idx="262">
                  <c:v>5.08052242946408</c:v>
                </c:pt>
                <c:pt idx="263">
                  <c:v>4.87915557524193</c:v>
                </c:pt>
                <c:pt idx="264">
                  <c:v>4.67773688330198</c:v>
                </c:pt>
                <c:pt idx="265">
                  <c:v>4.47625724707574</c:v>
                </c:pt>
                <c:pt idx="266">
                  <c:v>4.27470711756583</c:v>
                </c:pt>
                <c:pt idx="267">
                  <c:v>4.07307648217236</c:v>
                </c:pt>
                <c:pt idx="268">
                  <c:v>3.87135484483435</c:v>
                </c:pt>
                <c:pt idx="269">
                  <c:v>3.66953120777544</c:v>
                </c:pt>
                <c:pt idx="270">
                  <c:v>3.46759405516989</c:v>
                </c:pt>
                <c:pt idx="271">
                  <c:v>3.26553133906208</c:v>
                </c:pt>
                <c:pt idx="272">
                  <c:v>3.06333046790004</c:v>
                </c:pt>
                <c:pt idx="273">
                  <c:v>2.86097829805773</c:v>
                </c:pt>
                <c:pt idx="274">
                  <c:v>2.65846112873964</c:v>
                </c:pt>
                <c:pt idx="275">
                  <c:v>2.45576470067453</c:v>
                </c:pt>
                <c:pt idx="276">
                  <c:v>2.25287419901179</c:v>
                </c:pt>
                <c:pt idx="277">
                  <c:v>2.04977426084103</c:v>
                </c:pt>
                <c:pt idx="278">
                  <c:v>1.84644898775152</c:v>
                </c:pt>
                <c:pt idx="279">
                  <c:v>1.64288196384051</c:v>
                </c:pt>
                <c:pt idx="280">
                  <c:v>1.43905627956798</c:v>
                </c:pt>
                <c:pt idx="281">
                  <c:v>1.23495456182585</c:v>
                </c:pt>
                <c:pt idx="282">
                  <c:v>1.03055901056588</c:v>
                </c:pt>
                <c:pt idx="283">
                  <c:v>0.825851442284845</c:v>
                </c:pt>
                <c:pt idx="284">
                  <c:v>0.620813340621028</c:v>
                </c:pt>
                <c:pt idx="285">
                  <c:v>0.415425914252562</c:v>
                </c:pt>
                <c:pt idx="286">
                  <c:v>0.209670162224655</c:v>
                </c:pt>
                <c:pt idx="287">
                  <c:v>0.00352694675080745</c:v>
                </c:pt>
                <c:pt idx="288">
                  <c:v>-0.203022926549851</c:v>
                </c:pt>
                <c:pt idx="289">
                  <c:v>-0.409998621115111</c:v>
                </c:pt>
                <c:pt idx="290">
                  <c:v>-0.617419174839045</c:v>
                </c:pt>
                <c:pt idx="291">
                  <c:v>-0.825303398753415</c:v>
                </c:pt>
                <c:pt idx="292">
                  <c:v>-1.03366976945334</c:v>
                </c:pt>
                <c:pt idx="293">
                  <c:v>-1.24253631584224</c:v>
                </c:pt>
                <c:pt idx="294">
                  <c:v>-1.45192050089292</c:v>
                </c:pt>
                <c:pt idx="295">
                  <c:v>-1.66183909923822</c:v>
                </c:pt>
                <c:pt idx="296">
                  <c:v>-1.8723080715185</c:v>
                </c:pt>
                <c:pt idx="297">
                  <c:v>-2.08334243652305</c:v>
                </c:pt>
                <c:pt idx="298">
                  <c:v>-2.29495614226332</c:v>
                </c:pt>
                <c:pt idx="299">
                  <c:v>-2.50716193720448</c:v>
                </c:pt>
                <c:pt idx="300">
                  <c:v>-2.71997124296213</c:v>
                </c:pt>
                <c:pt idx="301">
                  <c:v>-2.93339402982823</c:v>
                </c:pt>
                <c:pt idx="302">
                  <c:v>-3.14743869653583</c:v>
                </c:pt>
                <c:pt idx="303">
                  <c:v>-3.36211195569834</c:v>
                </c:pt>
                <c:pt idx="304">
                  <c:v>-3.57741872635627</c:v>
                </c:pt>
                <c:pt idx="305">
                  <c:v>-3.79336203504946</c:v>
                </c:pt>
                <c:pt idx="306">
                  <c:v>-4.00994292678544</c:v>
                </c:pt>
                <c:pt idx="307">
                  <c:v>-4.22716038721024</c:v>
                </c:pt>
                <c:pt idx="308">
                  <c:v>-4.44501127719634</c:v>
                </c:pt>
                <c:pt idx="309">
                  <c:v>-4.66349028094806</c:v>
                </c:pt>
                <c:pt idx="310">
                  <c:v>-4.88258986859202</c:v>
                </c:pt>
                <c:pt idx="311">
                  <c:v>-5.10230027406477</c:v>
                </c:pt>
                <c:pt idx="312">
                  <c:v>-5.32260948894102</c:v>
                </c:pt>
                <c:pt idx="313">
                  <c:v>-5.54350327265366</c:v>
                </c:pt>
                <c:pt idx="314">
                  <c:v>-5.76496517936908</c:v>
                </c:pt>
                <c:pt idx="315">
                  <c:v>-5.98697660156679</c:v>
                </c:pt>
                <c:pt idx="316">
                  <c:v>-6.20951683017154</c:v>
                </c:pt>
                <c:pt idx="317">
                  <c:v>-6.43256313087013</c:v>
                </c:pt>
                <c:pt idx="318">
                  <c:v>-6.65609083604271</c:v>
                </c:pt>
                <c:pt idx="319">
                  <c:v>-6.88007345153883</c:v>
                </c:pt>
                <c:pt idx="320">
                  <c:v>-7.10448277734276</c:v>
                </c:pt>
                <c:pt idx="321">
                  <c:v>-7.32928904099473</c:v>
                </c:pt>
                <c:pt idx="322">
                  <c:v>-7.55446104248476</c:v>
                </c:pt>
                <c:pt idx="323">
                  <c:v>-7.77996630919707</c:v>
                </c:pt>
                <c:pt idx="324">
                  <c:v>-8.00577125937106</c:v>
                </c:pt>
                <c:pt idx="325">
                  <c:v>-8.23184137245726</c:v>
                </c:pt>
                <c:pt idx="326">
                  <c:v>-8.45814136468053</c:v>
                </c:pt>
                <c:pt idx="327">
                  <c:v>-8.6846353680907</c:v>
                </c:pt>
                <c:pt idx="328">
                  <c:v>-8.91128711136577</c:v>
                </c:pt>
                <c:pt idx="329">
                  <c:v>-9.13806010064884</c:v>
                </c:pt>
                <c:pt idx="330">
                  <c:v>-9.36491779874166</c:v>
                </c:pt>
                <c:pt idx="331">
                  <c:v>-9.59182380103686</c:v>
                </c:pt>
                <c:pt idx="332">
                  <c:v>-9.81874200666155</c:v>
                </c:pt>
                <c:pt idx="333">
                  <c:v>-10.0456367834</c:v>
                </c:pt>
                <c:pt idx="334">
                  <c:v>-10.2724731250931</c:v>
                </c:pt>
                <c:pt idx="335">
                  <c:v>-10.4992168003393</c:v>
                </c:pt>
                <c:pt idx="336">
                  <c:v>-10.7258344914701</c:v>
                </c:pt>
                <c:pt idx="337">
                  <c:v>-10.9522939229281</c:v>
                </c:pt>
                <c:pt idx="338">
                  <c:v>-11.1785639783297</c:v>
                </c:pt>
                <c:pt idx="339">
                  <c:v>-11.4046148056596</c:v>
                </c:pt>
                <c:pt idx="340">
                  <c:v>-11.6304179102002</c:v>
                </c:pt>
                <c:pt idx="341">
                  <c:v>-11.8559462349592</c:v>
                </c:pt>
                <c:pt idx="342">
                  <c:v>-12.0811742285064</c:v>
                </c:pt>
                <c:pt idx="343">
                  <c:v>-12.3060779002742</c:v>
                </c:pt>
                <c:pt idx="344">
                  <c:v>-12.5306348635127</c:v>
                </c:pt>
                <c:pt idx="345">
                  <c:v>-12.7548243662063</c:v>
                </c:pt>
                <c:pt idx="346">
                  <c:v>-12.9786273103765</c:v>
                </c:pt>
                <c:pt idx="347">
                  <c:v>-13.2020262602834</c:v>
                </c:pt>
                <c:pt idx="348">
                  <c:v>-13.4250054401307</c:v>
                </c:pt>
                <c:pt idx="349">
                  <c:v>-13.6475507219384</c:v>
                </c:pt>
                <c:pt idx="350">
                  <c:v>-13.869649604311</c:v>
                </c:pt>
                <c:pt idx="351">
                  <c:v>-14.0912911828638</c:v>
                </c:pt>
                <c:pt idx="352">
                  <c:v>-14.3124661131039</c:v>
                </c:pt>
                <c:pt idx="353">
                  <c:v>-14.533166566572</c:v>
                </c:pt>
                <c:pt idx="354">
                  <c:v>-14.7533861810631</c:v>
                </c:pt>
                <c:pt idx="355">
                  <c:v>-14.9731200057313</c:v>
                </c:pt>
                <c:pt idx="356">
                  <c:v>-15.1923644418726</c:v>
                </c:pt>
                <c:pt idx="357">
                  <c:v>-15.4111171801548</c:v>
                </c:pt>
                <c:pt idx="358">
                  <c:v>-15.6293771350329</c:v>
                </c:pt>
                <c:pt idx="359">
                  <c:v>-15.8471443770494</c:v>
                </c:pt>
                <c:pt idx="360">
                  <c:v>-16.0644200636826</c:v>
                </c:pt>
                <c:pt idx="361">
                  <c:v>-16.2812063693541</c:v>
                </c:pt>
                <c:pt idx="362">
                  <c:v>-16.4975064151641</c:v>
                </c:pt>
                <c:pt idx="363">
                  <c:v>-16.7133241988706</c:v>
                </c:pt>
                <c:pt idx="364">
                  <c:v>-16.9286645255794</c:v>
                </c:pt>
                <c:pt idx="365">
                  <c:v>-17.1435329395601</c:v>
                </c:pt>
                <c:pt idx="366">
                  <c:v>-17.357935657555</c:v>
                </c:pt>
                <c:pt idx="367">
                  <c:v>-17.571879503898</c:v>
                </c:pt>
                <c:pt idx="368">
                  <c:v>-17.785371847715</c:v>
                </c:pt>
                <c:pt idx="369">
                  <c:v>-17.9984205424303</c:v>
                </c:pt>
                <c:pt idx="370">
                  <c:v>-18.2110338677648</c:v>
                </c:pt>
                <c:pt idx="371">
                  <c:v>-18.4232204743702</c:v>
                </c:pt>
                <c:pt idx="372">
                  <c:v>-18.6349893312067</c:v>
                </c:pt>
                <c:pt idx="373">
                  <c:v>-18.8463496757386</c:v>
                </c:pt>
                <c:pt idx="374">
                  <c:v>-19.0573109669948</c:v>
                </c:pt>
                <c:pt idx="375">
                  <c:v>-19.2678828415078</c:v>
                </c:pt>
                <c:pt idx="376">
                  <c:v>-19.4780750721257</c:v>
                </c:pt>
                <c:pt idx="377">
                  <c:v>-19.6878975296687</c:v>
                </c:pt>
                <c:pt idx="378">
                  <c:v>-19.8973601473817</c:v>
                </c:pt>
                <c:pt idx="379">
                  <c:v>-20.1064728881212</c:v>
                </c:pt>
                <c:pt idx="380">
                  <c:v>-20.3152457141982</c:v>
                </c:pt>
                <c:pt idx="381">
                  <c:v>-20.5236885597892</c:v>
                </c:pt>
                <c:pt idx="382">
                  <c:v>-20.7318113058214</c:v>
                </c:pt>
                <c:pt idx="383">
                  <c:v>-20.939623757223</c:v>
                </c:pt>
                <c:pt idx="384">
                  <c:v>-21.1471356224352</c:v>
                </c:pt>
                <c:pt idx="385">
                  <c:v>-21.3543564950678</c:v>
                </c:pt>
                <c:pt idx="386">
                  <c:v>-21.5612958375874</c:v>
                </c:pt>
                <c:pt idx="387">
                  <c:v>-21.7679629669201</c:v>
                </c:pt>
                <c:pt idx="388">
                  <c:v>-21.9743670418541</c:v>
                </c:pt>
                <c:pt idx="389">
                  <c:v>-22.1805170521253</c:v>
                </c:pt>
                <c:pt idx="390">
                  <c:v>-22.3864218090767</c:v>
                </c:pt>
                <c:pt idx="391">
                  <c:v>-22.5920899377776</c:v>
                </c:pt>
                <c:pt idx="392">
                  <c:v>-22.7975298704977</c:v>
                </c:pt>
                <c:pt idx="393">
                  <c:v>-23.0027498414327</c:v>
                </c:pt>
                <c:pt idx="394">
                  <c:v>-23.20775788258</c:v>
                </c:pt>
                <c:pt idx="395">
                  <c:v>-23.4125618206721</c:v>
                </c:pt>
                <c:pt idx="396">
                  <c:v>-23.6171692750742</c:v>
                </c:pt>
                <c:pt idx="397">
                  <c:v>-23.821587656561</c:v>
                </c:pt>
                <c:pt idx="398">
                  <c:v>-24.0258241668915</c:v>
                </c:pt>
                <c:pt idx="399">
                  <c:v>-24.2298857991034</c:v>
                </c:pt>
                <c:pt idx="400">
                  <c:v>-24.4337793384563</c:v>
                </c:pt>
                <c:pt idx="401">
                  <c:v>-24.6375113639554</c:v>
                </c:pt>
                <c:pt idx="402">
                  <c:v>-24.841088250391</c:v>
                </c:pt>
                <c:pt idx="403">
                  <c:v>-25.0445161708371</c:v>
                </c:pt>
                <c:pt idx="404">
                  <c:v>-25.2478010995538</c:v>
                </c:pt>
                <c:pt idx="405">
                  <c:v>-25.4509488152409</c:v>
                </c:pt>
                <c:pt idx="406">
                  <c:v>-25.6539649045985</c:v>
                </c:pt>
                <c:pt idx="407">
                  <c:v>-25.8568547661501</c:v>
                </c:pt>
                <c:pt idx="408">
                  <c:v>-26.0596236142888</c:v>
                </c:pt>
                <c:pt idx="409">
                  <c:v>-26.2622764835109</c:v>
                </c:pt>
                <c:pt idx="410">
                  <c:v>-26.4648182328031</c:v>
                </c:pt>
                <c:pt idx="411">
                  <c:v>-26.6672535501547</c:v>
                </c:pt>
                <c:pt idx="412">
                  <c:v>-26.869586957166</c:v>
                </c:pt>
                <c:pt idx="413">
                  <c:v>-27.0718228137288</c:v>
                </c:pt>
                <c:pt idx="414">
                  <c:v>-27.2739653227577</c:v>
                </c:pt>
                <c:pt idx="415">
                  <c:v>-27.4760185349511</c:v>
                </c:pt>
                <c:pt idx="416">
                  <c:v>-27.6779863535654</c:v>
                </c:pt>
                <c:pt idx="417">
                  <c:v>-27.879872539186</c:v>
                </c:pt>
                <c:pt idx="418">
                  <c:v>-28.0816807144803</c:v>
                </c:pt>
                <c:pt idx="419">
                  <c:v>-28.283414368923</c:v>
                </c:pt>
                <c:pt idx="420">
                  <c:v>-28.4850768634802</c:v>
                </c:pt>
                <c:pt idx="421">
                  <c:v>-28.6866714352449</c:v>
                </c:pt>
                <c:pt idx="422">
                  <c:v>-28.8882012020156</c:v>
                </c:pt>
                <c:pt idx="423">
                  <c:v>-29.0896691668103</c:v>
                </c:pt>
                <c:pt idx="424">
                  <c:v>-29.2910782223123</c:v>
                </c:pt>
                <c:pt idx="425">
                  <c:v>-29.4924311552407</c:v>
                </c:pt>
                <c:pt idx="426">
                  <c:v>-29.6937306506447</c:v>
                </c:pt>
                <c:pt idx="427">
                  <c:v>-29.894979296116</c:v>
                </c:pt>
                <c:pt idx="428">
                  <c:v>-30.0961795859192</c:v>
                </c:pt>
                <c:pt idx="429">
                  <c:v>-30.2973339250379</c:v>
                </c:pt>
                <c:pt idx="430">
                  <c:v>-30.4984446331366</c:v>
                </c:pt>
                <c:pt idx="431">
                  <c:v>-30.6995139484361</c:v>
                </c:pt>
                <c:pt idx="432">
                  <c:v>-30.9005440315066</c:v>
                </c:pt>
                <c:pt idx="433">
                  <c:v>-31.1015369689736</c:v>
                </c:pt>
                <c:pt idx="434">
                  <c:v>-31.3024947771433</c:v>
                </c:pt>
                <c:pt idx="435">
                  <c:v>-31.5034194055457</c:v>
                </c:pt>
                <c:pt idx="436">
                  <c:v>-31.7043127403972</c:v>
                </c:pt>
                <c:pt idx="437">
                  <c:v>-31.9051766079873</c:v>
                </c:pt>
                <c:pt idx="438">
                  <c:v>-32.1060127779893</c:v>
                </c:pt>
                <c:pt idx="439">
                  <c:v>-32.3068229666981</c:v>
                </c:pt>
                <c:pt idx="440">
                  <c:v>-32.507608840199</c:v>
                </c:pt>
                <c:pt idx="441">
                  <c:v>-32.7083720174686</c:v>
                </c:pt>
                <c:pt idx="442">
                  <c:v>-32.9091140734143</c:v>
                </c:pt>
                <c:pt idx="443">
                  <c:v>-33.1098365418504</c:v>
                </c:pt>
                <c:pt idx="444">
                  <c:v>-33.3105409184199</c:v>
                </c:pt>
                <c:pt idx="445">
                  <c:v>-33.5112286634612</c:v>
                </c:pt>
                <c:pt idx="446">
                  <c:v>-33.7119012048267</c:v>
                </c:pt>
                <c:pt idx="447">
                  <c:v>-33.9125599406532</c:v>
                </c:pt>
                <c:pt idx="448">
                  <c:v>-34.1132062420921</c:v>
                </c:pt>
                <c:pt idx="449">
                  <c:v>-34.313841456</c:v>
                </c:pt>
                <c:pt idx="450">
                  <c:v>-34.5144669075958</c:v>
                </c:pt>
                <c:pt idx="451">
                  <c:v>-34.7150839030862</c:v>
                </c:pt>
                <c:pt idx="452">
                  <c:v>-34.915693732266</c:v>
                </c:pt>
                <c:pt idx="453">
                  <c:v>-35.1162976710952</c:v>
                </c:pt>
                <c:pt idx="454">
                  <c:v>-35.3168969842592</c:v>
                </c:pt>
                <c:pt idx="455">
                  <c:v>-35.5174929277143</c:v>
                </c:pt>
                <c:pt idx="456">
                  <c:v>-35.7180867512235</c:v>
                </c:pt>
                <c:pt idx="457">
                  <c:v>-35.9186797008879</c:v>
                </c:pt>
                <c:pt idx="458">
                  <c:v>-36.1192730216766</c:v>
                </c:pt>
                <c:pt idx="459">
                  <c:v>-36.3198679599599</c:v>
                </c:pt>
                <c:pt idx="460">
                  <c:v>-36.520465766052</c:v>
                </c:pt>
                <c:pt idx="461">
                  <c:v>-36.7210676967642</c:v>
                </c:pt>
                <c:pt idx="462">
                  <c:v>-36.9216750179774</c:v>
                </c:pt>
                <c:pt idx="463">
                  <c:v>-37.1222890072352</c:v>
                </c:pt>
                <c:pt idx="464">
                  <c:v>-37.3229109563634</c:v>
                </c:pt>
                <c:pt idx="465">
                  <c:v>-37.5235421741227</c:v>
                </c:pt>
                <c:pt idx="466">
                  <c:v>-37.7241839888952</c:v>
                </c:pt>
                <c:pt idx="467">
                  <c:v>-37.9248377514146</c:v>
                </c:pt>
                <c:pt idx="468">
                  <c:v>-38.1255048375409</c:v>
                </c:pt>
                <c:pt idx="469">
                  <c:v>-38.326186651088</c:v>
                </c:pt>
                <c:pt idx="470">
                  <c:v>-38.5268846267066</c:v>
                </c:pt>
                <c:pt idx="471">
                  <c:v>-38.7276002328306</c:v>
                </c:pt>
                <c:pt idx="472">
                  <c:v>-38.92833497469</c:v>
                </c:pt>
                <c:pt idx="473">
                  <c:v>-39.1290903973965</c:v>
                </c:pt>
                <c:pt idx="474">
                  <c:v>-39.3298680891099</c:v>
                </c:pt>
                <c:pt idx="475">
                  <c:v>-39.5306696842858</c:v>
                </c:pt>
                <c:pt idx="476">
                  <c:v>-39.7314968670161</c:v>
                </c:pt>
                <c:pt idx="477">
                  <c:v>-39.9323513744657</c:v>
                </c:pt>
                <c:pt idx="478">
                  <c:v>-40.1332350004095</c:v>
                </c:pt>
                <c:pt idx="479">
                  <c:v>-40.3341495988819</c:v>
                </c:pt>
                <c:pt idx="480">
                  <c:v>-40.5350970879384</c:v>
                </c:pt>
                <c:pt idx="481">
                  <c:v>-40.7360794535401</c:v>
                </c:pt>
                <c:pt idx="482">
                  <c:v>-40.9370987535683</c:v>
                </c:pt>
                <c:pt idx="483">
                  <c:v>-41.1381571219716</c:v>
                </c:pt>
                <c:pt idx="484">
                  <c:v>-41.3392567730583</c:v>
                </c:pt>
                <c:pt idx="485">
                  <c:v>-41.5404000059368</c:v>
                </c:pt>
                <c:pt idx="486">
                  <c:v>-41.7415892091136</c:v>
                </c:pt>
                <c:pt idx="487">
                  <c:v>-41.9428268652555</c:v>
                </c:pt>
                <c:pt idx="488">
                  <c:v>-42.1441155561243</c:v>
                </c:pt>
                <c:pt idx="489">
                  <c:v>-42.3454579676909</c:v>
                </c:pt>
                <c:pt idx="490">
                  <c:v>-42.5468568954372</c:v>
                </c:pt>
                <c:pt idx="491">
                  <c:v>-42.748315249854</c:v>
                </c:pt>
                <c:pt idx="492">
                  <c:v>-42.9498360621429</c:v>
                </c:pt>
                <c:pt idx="493">
                  <c:v>-43.1514224901304</c:v>
                </c:pt>
                <c:pt idx="494">
                  <c:v>-43.353077824402</c:v>
                </c:pt>
                <c:pt idx="495">
                  <c:v>-43.5548054946669</c:v>
                </c:pt>
                <c:pt idx="496">
                  <c:v>-43.756609076359</c:v>
                </c:pt>
                <c:pt idx="497">
                  <c:v>-43.9584922974844</c:v>
                </c:pt>
                <c:pt idx="498">
                  <c:v>-44.1604590457252</c:v>
                </c:pt>
                <c:pt idx="499">
                  <c:v>-44.3625133758051</c:v>
                </c:pt>
                <c:pt idx="500">
                  <c:v>-44.564659517129</c:v>
                </c:pt>
                <c:pt idx="501">
                  <c:v>-44.7669018817022</c:v>
                </c:pt>
                <c:pt idx="502">
                  <c:v>-44.9692450723402</c:v>
                </c:pt>
                <c:pt idx="503">
                  <c:v>-45.1716938911755</c:v>
                </c:pt>
                <c:pt idx="504">
                  <c:v>-45.3742533484719</c:v>
                </c:pt>
                <c:pt idx="505">
                  <c:v>-45.5769286717511</c:v>
                </c:pt>
                <c:pt idx="506">
                  <c:v>-45.7797253152432</c:v>
                </c:pt>
                <c:pt idx="507">
                  <c:v>-45.9826489696652</c:v>
                </c:pt>
                <c:pt idx="508">
                  <c:v>-46.1857055723371</c:v>
                </c:pt>
                <c:pt idx="509">
                  <c:v>-46.3889013176405</c:v>
                </c:pt>
                <c:pt idx="510">
                  <c:v>-46.5922426678256</c:v>
                </c:pt>
                <c:pt idx="511">
                  <c:v>-46.7957363641738</c:v>
                </c:pt>
                <c:pt idx="512">
                  <c:v>-46.9993894385188</c:v>
                </c:pt>
                <c:pt idx="513">
                  <c:v>-47.20320922513</c:v>
                </c:pt>
                <c:pt idx="514">
                  <c:v>-47.4072033729622</c:v>
                </c:pt>
                <c:pt idx="515">
                  <c:v>-47.6113798582715</c:v>
                </c:pt>
                <c:pt idx="516">
                  <c:v>-47.8157469975996</c:v>
                </c:pt>
                <c:pt idx="517">
                  <c:v>-48.0203134611249</c:v>
                </c:pt>
                <c:pt idx="518">
                  <c:v>-48.2250882863768</c:v>
                </c:pt>
                <c:pt idx="519">
                  <c:v>-48.4300808923099</c:v>
                </c:pt>
                <c:pt idx="520">
                  <c:v>-48.6353010937338</c:v>
                </c:pt>
                <c:pt idx="521">
                  <c:v>-48.8407591160855</c:v>
                </c:pt>
                <c:pt idx="522">
                  <c:v>-49.0464656105384</c:v>
                </c:pt>
                <c:pt idx="523">
                  <c:v>-49.2524316694323</c:v>
                </c:pt>
                <c:pt idx="524">
                  <c:v>-49.4586688420095</c:v>
                </c:pt>
                <c:pt idx="525">
                  <c:v>-49.6651891504376</c:v>
                </c:pt>
                <c:pt idx="526">
                  <c:v>-49.872005106095</c:v>
                </c:pt>
                <c:pt idx="527">
                  <c:v>-50.0791297260974</c:v>
                </c:pt>
                <c:pt idx="528">
                  <c:v>-50.2865765500313</c:v>
                </c:pt>
                <c:pt idx="529">
                  <c:v>-50.4943596568614</c:v>
                </c:pt>
                <c:pt idx="530">
                  <c:v>-50.7024936819763</c:v>
                </c:pt>
                <c:pt idx="531">
                  <c:v>-50.9109938343241</c:v>
                </c:pt>
                <c:pt idx="532">
                  <c:v>-51.1198759135944</c:v>
                </c:pt>
                <c:pt idx="533">
                  <c:v>-51.3291563273891</c:v>
                </c:pt>
                <c:pt idx="534">
                  <c:v>-51.5388521083235</c:v>
                </c:pt>
                <c:pt idx="535">
                  <c:v>-51.7489809309924</c:v>
                </c:pt>
                <c:pt idx="536">
                  <c:v>-51.9595611287261</c:v>
                </c:pt>
                <c:pt idx="537">
                  <c:v>-52.1706117100599</c:v>
                </c:pt>
                <c:pt idx="538">
                  <c:v>-52.3821523748283</c:v>
                </c:pt>
                <c:pt idx="539">
                  <c:v>-52.5942035297907</c:v>
                </c:pt>
                <c:pt idx="540">
                  <c:v>-52.8067863036865</c:v>
                </c:pt>
                <c:pt idx="541">
                  <c:v>-53.01992256161</c:v>
                </c:pt>
              </c:numCache>
            </c:numRef>
          </c:yVal>
          <c:smooth val="1"/>
        </c:ser>
        <c:dLbls>
          <c:showLegendKey val="0"/>
          <c:showVal val="0"/>
          <c:showCatName val="0"/>
          <c:showSerName val="0"/>
          <c:showPercent val="0"/>
          <c:showBubbleSize val="0"/>
        </c:dLbls>
        <c:axId val="175885696"/>
        <c:axId val="175887872"/>
      </c:scatterChart>
      <c:scatterChart>
        <c:scatterStyle val="smooth"/>
        <c:varyColors val="0"/>
        <c:ser>
          <c:idx val="1"/>
          <c:order val="1"/>
          <c:tx>
            <c:strRef>
              <c:f>"Phase (deg)"</c:f>
              <c:strCache>
                <c:ptCount val="1"/>
                <c:pt idx="0">
                  <c:v>Phase (deg)</c:v>
                </c:pt>
              </c:strCache>
            </c:strRef>
          </c:tx>
          <c:spPr>
            <a:ln w="38100" cap="rnd" cmpd="sng" algn="ctr">
              <a:solidFill>
                <a:schemeClr val="tx1">
                  <a:lumMod val="95000"/>
                  <a:lumOff val="5000"/>
                </a:schemeClr>
              </a:solidFill>
              <a:prstDash val="sysDash"/>
              <a:round/>
            </a:ln>
          </c:spPr>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Loop_Modeling!$BH$19:$BH$560</c:f>
              <c:numCache>
                <c:formatCode>General</c:formatCode>
                <c:ptCount val="542"/>
                <c:pt idx="0">
                  <c:v>87.0608655879368</c:v>
                </c:pt>
                <c:pt idx="1">
                  <c:v>86.9929407220514</c:v>
                </c:pt>
                <c:pt idx="2">
                  <c:v>86.9234717850217</c:v>
                </c:pt>
                <c:pt idx="3">
                  <c:v>86.8524255045374</c:v>
                </c:pt>
                <c:pt idx="4">
                  <c:v>86.7797680221474</c:v>
                </c:pt>
                <c:pt idx="5">
                  <c:v>86.7054648926612</c:v>
                </c:pt>
                <c:pt idx="6">
                  <c:v>86.6294810844135</c:v>
                </c:pt>
                <c:pt idx="7">
                  <c:v>86.5517809804722</c:v>
                </c:pt>
                <c:pt idx="8">
                  <c:v>86.4723283808693</c:v>
                </c:pt>
                <c:pt idx="9">
                  <c:v>86.391086505943</c:v>
                </c:pt>
                <c:pt idx="10">
                  <c:v>86.3080180008819</c:v>
                </c:pt>
                <c:pt idx="11">
                  <c:v>86.2230849415726</c:v>
                </c:pt>
                <c:pt idx="12">
                  <c:v>86.1362488418524</c:v>
                </c:pt>
                <c:pt idx="13">
                  <c:v>86.0474706622805</c:v>
                </c:pt>
                <c:pt idx="14">
                  <c:v>85.9567108205452</c:v>
                </c:pt>
                <c:pt idx="15">
                  <c:v>85.8639292036307</c:v>
                </c:pt>
                <c:pt idx="16">
                  <c:v>85.7690851818785</c:v>
                </c:pt>
                <c:pt idx="17">
                  <c:v>85.6721376250809</c:v>
                </c:pt>
                <c:pt idx="18">
                  <c:v>85.5730449207569</c:v>
                </c:pt>
                <c:pt idx="19">
                  <c:v>85.4717649947648</c:v>
                </c:pt>
                <c:pt idx="20">
                  <c:v>85.3682553344175</c:v>
                </c:pt>
                <c:pt idx="21">
                  <c:v>85.2624730142743</c:v>
                </c:pt>
                <c:pt idx="22">
                  <c:v>85.1543747247906</c:v>
                </c:pt>
                <c:pt idx="23">
                  <c:v>85.0439168040176</c:v>
                </c:pt>
                <c:pt idx="24">
                  <c:v>84.9310552725556</c:v>
                </c:pt>
                <c:pt idx="25">
                  <c:v>84.8157458719658</c:v>
                </c:pt>
                <c:pt idx="26">
                  <c:v>84.6979441068691</c:v>
                </c:pt>
                <c:pt idx="27">
                  <c:v>84.5776052909545</c:v>
                </c:pt>
                <c:pt idx="28">
                  <c:v>84.4546845971419</c:v>
                </c:pt>
                <c:pt idx="29">
                  <c:v>84.329137112146</c:v>
                </c:pt>
                <c:pt idx="30">
                  <c:v>84.2009178957025</c:v>
                </c:pt>
                <c:pt idx="31">
                  <c:v>84.0699820447221</c:v>
                </c:pt>
                <c:pt idx="32">
                  <c:v>83.9362847626533</c:v>
                </c:pt>
                <c:pt idx="33">
                  <c:v>83.7997814343347</c:v>
                </c:pt>
                <c:pt idx="34">
                  <c:v>83.6604277066356</c:v>
                </c:pt>
                <c:pt idx="35">
                  <c:v>83.5181795751816</c:v>
                </c:pt>
                <c:pt idx="36">
                  <c:v>83.3729934774738</c:v>
                </c:pt>
                <c:pt idx="37">
                  <c:v>83.2248263927137</c:v>
                </c:pt>
                <c:pt idx="38">
                  <c:v>83.073635948651</c:v>
                </c:pt>
                <c:pt idx="39">
                  <c:v>82.9193805357692</c:v>
                </c:pt>
                <c:pt idx="40">
                  <c:v>82.7620194291338</c:v>
                </c:pt>
                <c:pt idx="41">
                  <c:v>82.6015129182173</c:v>
                </c:pt>
                <c:pt idx="42">
                  <c:v>82.4378224450161</c:v>
                </c:pt>
                <c:pt idx="43">
                  <c:v>82.2709107507712</c:v>
                </c:pt>
                <c:pt idx="44">
                  <c:v>82.1007420315883</c:v>
                </c:pt>
                <c:pt idx="45">
                  <c:v>81.9272821032482</c:v>
                </c:pt>
                <c:pt idx="46">
                  <c:v>81.7504985754792</c:v>
                </c:pt>
                <c:pt idx="47">
                  <c:v>81.5703610359434</c:v>
                </c:pt>
                <c:pt idx="48">
                  <c:v>81.3868412441658</c:v>
                </c:pt>
                <c:pt idx="49">
                  <c:v>81.1999133356069</c:v>
                </c:pt>
                <c:pt idx="50">
                  <c:v>81.009554036045</c:v>
                </c:pt>
                <c:pt idx="51">
                  <c:v>80.8157428863931</c:v>
                </c:pt>
                <c:pt idx="52">
                  <c:v>80.618462478034</c:v>
                </c:pt>
                <c:pt idx="53">
                  <c:v>80.4176986987003</c:v>
                </c:pt>
                <c:pt idx="54">
                  <c:v>80.2134409888693</c:v>
                </c:pt>
                <c:pt idx="55">
                  <c:v>80.0056826085781</c:v>
                </c:pt>
                <c:pt idx="56">
                  <c:v>79.7944209144855</c:v>
                </c:pt>
                <c:pt idx="57">
                  <c:v>79.5796576469282</c:v>
                </c:pt>
                <c:pt idx="58">
                  <c:v>79.3613992266285</c:v>
                </c:pt>
                <c:pt idx="59">
                  <c:v>79.1396570606085</c:v>
                </c:pt>
                <c:pt idx="60">
                  <c:v>78.914447856761</c:v>
                </c:pt>
                <c:pt idx="61">
                  <c:v>78.6857939464056</c:v>
                </c:pt>
                <c:pt idx="62">
                  <c:v>78.4537236140386</c:v>
                </c:pt>
                <c:pt idx="63">
                  <c:v>78.218271433344</c:v>
                </c:pt>
                <c:pt idx="64">
                  <c:v>77.9794786083943</c:v>
                </c:pt>
                <c:pt idx="65">
                  <c:v>77.7373933188155</c:v>
                </c:pt>
                <c:pt idx="66">
                  <c:v>77.4920710675351</c:v>
                </c:pt>
                <c:pt idx="67">
                  <c:v>77.2435750295616</c:v>
                </c:pt>
                <c:pt idx="68">
                  <c:v>76.9919764000788</c:v>
                </c:pt>
                <c:pt idx="69">
                  <c:v>76.7373547399585</c:v>
                </c:pt>
                <c:pt idx="70">
                  <c:v>76.4797983166185</c:v>
                </c:pt>
                <c:pt idx="71">
                  <c:v>76.2194044379759</c:v>
                </c:pt>
                <c:pt idx="72">
                  <c:v>75.956279777063</c:v>
                </c:pt>
                <c:pt idx="73">
                  <c:v>75.690540684701</c:v>
                </c:pt>
                <c:pt idx="74">
                  <c:v>75.4223134874595</c:v>
                </c:pt>
                <c:pt idx="75">
                  <c:v>75.1517347679625</c:v>
                </c:pt>
                <c:pt idx="76">
                  <c:v>74.8789516244595</c:v>
                </c:pt>
                <c:pt idx="77">
                  <c:v>74.6041219064408</c:v>
                </c:pt>
                <c:pt idx="78">
                  <c:v>74.3274144229622</c:v>
                </c:pt>
                <c:pt idx="79">
                  <c:v>74.0490091202488</c:v>
                </c:pt>
                <c:pt idx="80">
                  <c:v>73.7690972250753</c:v>
                </c:pt>
                <c:pt idx="81">
                  <c:v>73.4878813503877</c:v>
                </c:pt>
                <c:pt idx="82">
                  <c:v>73.2055755596078</c:v>
                </c:pt>
                <c:pt idx="83">
                  <c:v>72.9224053861071</c:v>
                </c:pt>
                <c:pt idx="84">
                  <c:v>72.6386078043867</c:v>
                </c:pt>
                <c:pt idx="85">
                  <c:v>72.354431149619</c:v>
                </c:pt>
                <c:pt idx="86">
                  <c:v>72.070134982352</c:v>
                </c:pt>
                <c:pt idx="87">
                  <c:v>71.7859898953827</c:v>
                </c:pt>
                <c:pt idx="88">
                  <c:v>71.5022772600414</c:v>
                </c:pt>
                <c:pt idx="89">
                  <c:v>71.2192889094394</c:v>
                </c:pt>
                <c:pt idx="90">
                  <c:v>70.9373267565585</c:v>
                </c:pt>
                <c:pt idx="91">
                  <c:v>70.6567023454672</c:v>
                </c:pt>
                <c:pt idx="92">
                  <c:v>70.3777363343742</c:v>
                </c:pt>
                <c:pt idx="93">
                  <c:v>70.1007579097172</c:v>
                </c:pt>
                <c:pt idx="94">
                  <c:v>69.8261041310004</c:v>
                </c:pt>
                <c:pt idx="95">
                  <c:v>69.5541192066545</c:v>
                </c:pt>
                <c:pt idx="96">
                  <c:v>69.2851537017735</c:v>
                </c:pt>
                <c:pt idx="97">
                  <c:v>69.0195636791957</c:v>
                </c:pt>
                <c:pt idx="98">
                  <c:v>68.7577097760196</c:v>
                </c:pt>
                <c:pt idx="99">
                  <c:v>68.4999562182831</c:v>
                </c:pt>
                <c:pt idx="100">
                  <c:v>68.2466697771706</c:v>
                </c:pt>
                <c:pt idx="101">
                  <c:v>67.9982186707408</c:v>
                </c:pt>
                <c:pt idx="102">
                  <c:v>67.7549714157821</c:v>
                </c:pt>
                <c:pt idx="103">
                  <c:v>67.5172956349962</c:v>
                </c:pt>
                <c:pt idx="104">
                  <c:v>67.2855568252566</c:v>
                </c:pt>
                <c:pt idx="105">
                  <c:v>67.060117093217</c:v>
                </c:pt>
                <c:pt idx="106">
                  <c:v>66.8413338650024</c:v>
                </c:pt>
                <c:pt idx="107">
                  <c:v>66.6295585771325</c:v>
                </c:pt>
                <c:pt idx="108">
                  <c:v>66.4251353561723</c:v>
                </c:pt>
                <c:pt idx="109">
                  <c:v>66.2283996948976</c:v>
                </c:pt>
                <c:pt idx="110">
                  <c:v>66.0396771329656</c:v>
                </c:pt>
                <c:pt idx="111">
                  <c:v>65.8592819502329</c:v>
                </c:pt>
                <c:pt idx="112">
                  <c:v>65.6875158809197</c:v>
                </c:pt>
                <c:pt idx="113">
                  <c:v>65.5246668568097</c:v>
                </c:pt>
                <c:pt idx="114">
                  <c:v>65.3710077876017</c:v>
                </c:pt>
                <c:pt idx="115">
                  <c:v>65.2267953863475</c:v>
                </c:pt>
                <c:pt idx="116">
                  <c:v>65.0922690477019</c:v>
                </c:pt>
                <c:pt idx="117">
                  <c:v>64.9676497864022</c:v>
                </c:pt>
                <c:pt idx="118">
                  <c:v>64.8531392430261</c:v>
                </c:pt>
                <c:pt idx="119">
                  <c:v>64.7489187636717</c:v>
                </c:pt>
                <c:pt idx="120">
                  <c:v>64.6551485597044</c:v>
                </c:pt>
                <c:pt idx="121">
                  <c:v>64.5719669532088</c:v>
                </c:pt>
                <c:pt idx="122">
                  <c:v>64.4994897131977</c:v>
                </c:pt>
                <c:pt idx="123">
                  <c:v>64.437809487031</c:v>
                </c:pt>
                <c:pt idx="124">
                  <c:v>64.3869953308465</c:v>
                </c:pt>
                <c:pt idx="125">
                  <c:v>64.3470923421434</c:v>
                </c:pt>
                <c:pt idx="126">
                  <c:v>64.3181213969579</c:v>
                </c:pt>
                <c:pt idx="127">
                  <c:v>64.3000789933639</c:v>
                </c:pt>
                <c:pt idx="128">
                  <c:v>64.2929372023143</c:v>
                </c:pt>
                <c:pt idx="129">
                  <c:v>64.2966437261015</c:v>
                </c:pt>
                <c:pt idx="130">
                  <c:v>64.311122063994</c:v>
                </c:pt>
                <c:pt idx="131">
                  <c:v>64.3362717838682</c:v>
                </c:pt>
                <c:pt idx="132">
                  <c:v>64.3719688979468</c:v>
                </c:pt>
                <c:pt idx="133">
                  <c:v>64.4180663400387</c:v>
                </c:pt>
                <c:pt idx="134">
                  <c:v>64.4743945409916</c:v>
                </c:pt>
                <c:pt idx="135">
                  <c:v>64.5407620984045</c:v>
                </c:pt>
                <c:pt idx="136">
                  <c:v>64.6169565360066</c:v>
                </c:pt>
                <c:pt idx="137">
                  <c:v>64.7027451475147</c:v>
                </c:pt>
                <c:pt idx="138">
                  <c:v>64.7978759192111</c:v>
                </c:pt>
                <c:pt idx="139">
                  <c:v>64.902078524976</c:v>
                </c:pt>
                <c:pt idx="140">
                  <c:v>65.0150653870317</c:v>
                </c:pt>
                <c:pt idx="141">
                  <c:v>65.1365327952623</c:v>
                </c:pt>
                <c:pt idx="142">
                  <c:v>65.266162077599</c:v>
                </c:pt>
                <c:pt idx="143">
                  <c:v>65.4036208137069</c:v>
                </c:pt>
                <c:pt idx="144">
                  <c:v>65.548564083965</c:v>
                </c:pt>
                <c:pt idx="145">
                  <c:v>65.7006357456078</c:v>
                </c:pt>
                <c:pt idx="146">
                  <c:v>65.8594697278179</c:v>
                </c:pt>
                <c:pt idx="147">
                  <c:v>66.024691337567</c:v>
                </c:pt>
                <c:pt idx="148">
                  <c:v>66.1959185680852</c:v>
                </c:pt>
                <c:pt idx="149">
                  <c:v>66.3727634019953</c:v>
                </c:pt>
                <c:pt idx="150">
                  <c:v>66.5548331013755</c:v>
                </c:pt>
                <c:pt idx="151">
                  <c:v>66.741731477316</c:v>
                </c:pt>
                <c:pt idx="152">
                  <c:v>66.933060131893</c:v>
                </c:pt>
                <c:pt idx="153">
                  <c:v>67.1284196659198</c:v>
                </c:pt>
                <c:pt idx="154">
                  <c:v>67.327410846296</c:v>
                </c:pt>
                <c:pt idx="155">
                  <c:v>67.529635727317</c:v>
                </c:pt>
                <c:pt idx="156">
                  <c:v>67.7346987208579</c:v>
                </c:pt>
                <c:pt idx="157">
                  <c:v>67.9422076109506</c:v>
                </c:pt>
                <c:pt idx="158">
                  <c:v>68.1517745088802</c:v>
                </c:pt>
                <c:pt idx="159">
                  <c:v>68.3630167455731</c:v>
                </c:pt>
                <c:pt idx="160">
                  <c:v>68.5755576986683</c:v>
                </c:pt>
                <c:pt idx="161">
                  <c:v>68.7890275523133</c:v>
                </c:pt>
                <c:pt idx="162">
                  <c:v>69.0030639883398</c:v>
                </c:pt>
                <c:pt idx="163">
                  <c:v>69.2173128080824</c:v>
                </c:pt>
                <c:pt idx="164">
                  <c:v>69.4314284846834</c:v>
                </c:pt>
                <c:pt idx="165">
                  <c:v>69.6450746462692</c:v>
                </c:pt>
                <c:pt idx="166">
                  <c:v>69.8579244909075</c:v>
                </c:pt>
                <c:pt idx="167">
                  <c:v>70.0696611347123</c:v>
                </c:pt>
                <c:pt idx="168">
                  <c:v>70.2799778949014</c:v>
                </c:pt>
                <c:pt idx="169">
                  <c:v>70.4885785099819</c:v>
                </c:pt>
                <c:pt idx="170">
                  <c:v>70.695177299586</c:v>
                </c:pt>
                <c:pt idx="171">
                  <c:v>70.8994992667475</c:v>
                </c:pt>
                <c:pt idx="172">
                  <c:v>71.1012801456576</c:v>
                </c:pt>
                <c:pt idx="173">
                  <c:v>71.3002663981217</c:v>
                </c:pt>
                <c:pt idx="174">
                  <c:v>71.4962151620811</c:v>
                </c:pt>
                <c:pt idx="175">
                  <c:v>71.688894155665</c:v>
                </c:pt>
                <c:pt idx="176">
                  <c:v>71.8780815402926</c:v>
                </c:pt>
                <c:pt idx="177">
                  <c:v>72.0635657463642</c:v>
                </c:pt>
                <c:pt idx="178">
                  <c:v>72.2451452650684</c:v>
                </c:pt>
                <c:pt idx="179">
                  <c:v>72.4226284097803</c:v>
                </c:pt>
                <c:pt idx="180">
                  <c:v>72.5958330504487</c:v>
                </c:pt>
                <c:pt idx="181">
                  <c:v>72.7645863242812</c:v>
                </c:pt>
                <c:pt idx="182">
                  <c:v>72.9287243258994</c:v>
                </c:pt>
                <c:pt idx="183">
                  <c:v>73.088091780011</c:v>
                </c:pt>
                <c:pt idx="184">
                  <c:v>73.2425416994908</c:v>
                </c:pt>
                <c:pt idx="185">
                  <c:v>73.3919350315912</c:v>
                </c:pt>
                <c:pt idx="186">
                  <c:v>73.5361402948487</c:v>
                </c:pt>
                <c:pt idx="187">
                  <c:v>73.6750332090578</c:v>
                </c:pt>
                <c:pt idx="188">
                  <c:v>73.8084963205214</c:v>
                </c:pt>
                <c:pt idx="189">
                  <c:v>73.9364186245994</c:v>
                </c:pt>
                <c:pt idx="190">
                  <c:v>74.0586951873966</c:v>
                </c:pt>
                <c:pt idx="191">
                  <c:v>74.1752267682711</c:v>
                </c:pt>
                <c:pt idx="192">
                  <c:v>74.2859194446552</c:v>
                </c:pt>
                <c:pt idx="193">
                  <c:v>74.3906842405315</c:v>
                </c:pt>
                <c:pt idx="194">
                  <c:v>74.4894367597475</c:v>
                </c:pt>
                <c:pt idx="195">
                  <c:v>74.582096825194</c:v>
                </c:pt>
                <c:pt idx="196">
                  <c:v>74.6685881247442</c:v>
                </c:pt>
                <c:pt idx="197">
                  <c:v>74.7488378647091</c:v>
                </c:pt>
                <c:pt idx="198">
                  <c:v>74.8227764314407</c:v>
                </c:pt>
                <c:pt idx="199">
                  <c:v>74.8903370616092</c:v>
                </c:pt>
                <c:pt idx="200">
                  <c:v>74.9514555215627</c:v>
                </c:pt>
                <c:pt idx="201">
                  <c:v>75.0060697960883</c:v>
                </c:pt>
                <c:pt idx="202">
                  <c:v>75.0541197868082</c:v>
                </c:pt>
                <c:pt idx="203">
                  <c:v>75.0955470203536</c:v>
                </c:pt>
                <c:pt idx="204">
                  <c:v>75.1302943664016</c:v>
                </c:pt>
                <c:pt idx="205">
                  <c:v>75.1583057655871</c:v>
                </c:pt>
                <c:pt idx="206">
                  <c:v>75.1795259672498</c:v>
                </c:pt>
                <c:pt idx="207">
                  <c:v>75.1939002769269</c:v>
                </c:pt>
                <c:pt idx="208">
                  <c:v>75.2013743134598</c:v>
                </c:pt>
                <c:pt idx="209">
                  <c:v>75.2018937755454</c:v>
                </c:pt>
                <c:pt idx="210">
                  <c:v>75.1954042175361</c:v>
                </c:pt>
                <c:pt idx="211">
                  <c:v>75.1818508342629</c:v>
                </c:pt>
                <c:pt idx="212">
                  <c:v>75.1611782546401</c:v>
                </c:pt>
                <c:pt idx="213">
                  <c:v>75.1333303437933</c:v>
                </c:pt>
                <c:pt idx="214">
                  <c:v>75.0982500134407</c:v>
                </c:pt>
                <c:pt idx="215">
                  <c:v>75.055879040252</c:v>
                </c:pt>
                <c:pt idx="216">
                  <c:v>75.0061578919056</c:v>
                </c:pt>
                <c:pt idx="217">
                  <c:v>74.9490255605615</c:v>
                </c:pt>
                <c:pt idx="218">
                  <c:v>74.8844194034784</c:v>
                </c:pt>
                <c:pt idx="219">
                  <c:v>74.812274990497</c:v>
                </c:pt>
                <c:pt idx="220">
                  <c:v>74.7325259581318</c:v>
                </c:pt>
                <c:pt idx="221">
                  <c:v>74.6451038700176</c:v>
                </c:pt>
                <c:pt idx="222">
                  <c:v>74.5499380834681</c:v>
                </c:pt>
                <c:pt idx="223">
                  <c:v>74.4469556219296</c:v>
                </c:pt>
                <c:pt idx="224">
                  <c:v>74.3360810531143</c:v>
                </c:pt>
                <c:pt idx="225">
                  <c:v>74.21723637263</c:v>
                </c:pt>
                <c:pt idx="226">
                  <c:v>74.0903408929392</c:v>
                </c:pt>
                <c:pt idx="227">
                  <c:v>73.9553111374977</c:v>
                </c:pt>
                <c:pt idx="228">
                  <c:v>73.8120607399571</c:v>
                </c:pt>
                <c:pt idx="229">
                  <c:v>73.6605003483332</c:v>
                </c:pt>
                <c:pt idx="230">
                  <c:v>73.5005375340749</c:v>
                </c:pt>
                <c:pt idx="231">
                  <c:v>73.3320767059948</c:v>
                </c:pt>
                <c:pt idx="232">
                  <c:v>73.155019029058</c:v>
                </c:pt>
                <c:pt idx="233">
                  <c:v>72.9692623480504</c:v>
                </c:pt>
                <c:pt idx="234">
                  <c:v>72.774701116196</c:v>
                </c:pt>
                <c:pt idx="235">
                  <c:v>72.5712263288157</c:v>
                </c:pt>
                <c:pt idx="236">
                  <c:v>72.3587254621712</c:v>
                </c:pt>
                <c:pt idx="237">
                  <c:v>72.1370824176679</c:v>
                </c:pt>
                <c:pt idx="238">
                  <c:v>71.9061774716445</c:v>
                </c:pt>
                <c:pt idx="239">
                  <c:v>71.6658872310152</c:v>
                </c:pt>
                <c:pt idx="240">
                  <c:v>71.4160845950813</c:v>
                </c:pt>
                <c:pt idx="241">
                  <c:v>71.1566387238793</c:v>
                </c:pt>
                <c:pt idx="242">
                  <c:v>70.8874150134851</c:v>
                </c:pt>
                <c:pt idx="243">
                  <c:v>70.6082750787488</c:v>
                </c:pt>
                <c:pt idx="244">
                  <c:v>70.3190767439927</c:v>
                </c:pt>
                <c:pt idx="245">
                  <c:v>70.0196740422642</c:v>
                </c:pt>
                <c:pt idx="246">
                  <c:v>69.7099172237978</c:v>
                </c:pt>
                <c:pt idx="247">
                  <c:v>69.3896527744055</c:v>
                </c:pt>
                <c:pt idx="248">
                  <c:v>69.0587234445785</c:v>
                </c:pt>
                <c:pt idx="249">
                  <c:v>68.716968290155</c:v>
                </c:pt>
                <c:pt idx="250">
                  <c:v>68.3642227254692</c:v>
                </c:pt>
                <c:pt idx="251">
                  <c:v>68.0003185899815</c:v>
                </c:pt>
                <c:pt idx="252">
                  <c:v>67.6250842294395</c:v>
                </c:pt>
                <c:pt idx="253">
                  <c:v>67.2383445927097</c:v>
                </c:pt>
                <c:pt idx="254">
                  <c:v>66.8399213454688</c:v>
                </c:pt>
                <c:pt idx="255">
                  <c:v>66.429633002029</c:v>
                </c:pt>
                <c:pt idx="256">
                  <c:v>66.0072950766163</c:v>
                </c:pt>
                <c:pt idx="257">
                  <c:v>65.5727202554938</c:v>
                </c:pt>
                <c:pt idx="258">
                  <c:v>65.1257185913699</c:v>
                </c:pt>
                <c:pt idx="259">
                  <c:v>64.6660977215749</c:v>
                </c:pt>
                <c:pt idx="260">
                  <c:v>64.1936631115346</c:v>
                </c:pt>
                <c:pt idx="261">
                  <c:v>63.7082183250893</c:v>
                </c:pt>
                <c:pt idx="262">
                  <c:v>63.2095653232256</c:v>
                </c:pt>
                <c:pt idx="263">
                  <c:v>62.697504792792</c:v>
                </c:pt>
                <c:pt idx="264">
                  <c:v>62.1718365067427</c:v>
                </c:pt>
                <c:pt idx="265">
                  <c:v>61.6323597174327</c:v>
                </c:pt>
                <c:pt idx="266">
                  <c:v>61.0788735844198</c:v>
                </c:pt>
                <c:pt idx="267">
                  <c:v>60.511177638159</c:v>
                </c:pt>
                <c:pt idx="268">
                  <c:v>59.9290722808585</c:v>
                </c:pt>
                <c:pt idx="269">
                  <c:v>59.3323593256462</c:v>
                </c:pt>
                <c:pt idx="270">
                  <c:v>58.7208425750183</c:v>
                </c:pt>
                <c:pt idx="271">
                  <c:v>58.0943284393528</c:v>
                </c:pt>
                <c:pt idx="272">
                  <c:v>57.4526265960399</c:v>
                </c:pt>
                <c:pt idx="273">
                  <c:v>56.7955506895107</c:v>
                </c:pt>
                <c:pt idx="274">
                  <c:v>56.1229190721478</c:v>
                </c:pt>
                <c:pt idx="275">
                  <c:v>55.4345555857172</c:v>
                </c:pt>
                <c:pt idx="276">
                  <c:v>54.7302903825924</c:v>
                </c:pt>
                <c:pt idx="277">
                  <c:v>54.0099607856159</c:v>
                </c:pt>
                <c:pt idx="278">
                  <c:v>53.2734121850151</c:v>
                </c:pt>
                <c:pt idx="279">
                  <c:v>52.520498970293</c:v>
                </c:pt>
                <c:pt idx="280">
                  <c:v>51.7510854945225</c:v>
                </c:pt>
                <c:pt idx="281">
                  <c:v>50.9650470679321</c:v>
                </c:pt>
                <c:pt idx="282">
                  <c:v>50.1622709771304</c:v>
                </c:pt>
                <c:pt idx="283">
                  <c:v>49.3426575257474</c:v>
                </c:pt>
                <c:pt idx="284">
                  <c:v>48.5061210917104</c:v>
                </c:pt>
                <c:pt idx="285">
                  <c:v>47.6525911958067</c:v>
                </c:pt>
                <c:pt idx="286">
                  <c:v>46.7820135756369</c:v>
                </c:pt>
                <c:pt idx="287">
                  <c:v>45.8943512585297</c:v>
                </c:pt>
                <c:pt idx="288">
                  <c:v>44.9895856265012</c:v>
                </c:pt>
                <c:pt idx="289">
                  <c:v>44.0677174658773</c:v>
                </c:pt>
                <c:pt idx="290">
                  <c:v>43.1287679938165</c:v>
                </c:pt>
                <c:pt idx="291">
                  <c:v>42.1727798536144</c:v>
                </c:pt>
                <c:pt idx="292">
                  <c:v>41.1998180704318</c:v>
                </c:pt>
                <c:pt idx="293">
                  <c:v>40.2099709589043</c:v>
                </c:pt>
                <c:pt idx="294">
                  <c:v>39.2033509740074</c:v>
                </c:pt>
                <c:pt idx="295">
                  <c:v>38.1800954965801</c:v>
                </c:pt>
                <c:pt idx="296">
                  <c:v>37.1403675450231</c:v>
                </c:pt>
                <c:pt idx="297">
                  <c:v>36.0843564049359</c:v>
                </c:pt>
                <c:pt idx="298">
                  <c:v>35.0122781687959</c:v>
                </c:pt>
                <c:pt idx="299">
                  <c:v>33.9243761782491</c:v>
                </c:pt>
                <c:pt idx="300">
                  <c:v>32.820921362149</c:v>
                </c:pt>
                <c:pt idx="301">
                  <c:v>31.7022124641598</c:v>
                </c:pt>
                <c:pt idx="302">
                  <c:v>30.5685761545164</c:v>
                </c:pt>
                <c:pt idx="303">
                  <c:v>29.4203670213839</c:v>
                </c:pt>
                <c:pt idx="304">
                  <c:v>28.2579674382254</c:v>
                </c:pt>
                <c:pt idx="305">
                  <c:v>27.0817873045672</c:v>
                </c:pt>
                <c:pt idx="306">
                  <c:v>25.8922636586342</c:v>
                </c:pt>
                <c:pt idx="307">
                  <c:v>24.6898601613985</c:v>
                </c:pt>
                <c:pt idx="308">
                  <c:v>23.47506645271</c:v>
                </c:pt>
                <c:pt idx="309">
                  <c:v>22.2483973812912</c:v>
                </c:pt>
                <c:pt idx="310">
                  <c:v>21.0103921114702</c:v>
                </c:pt>
                <c:pt idx="311">
                  <c:v>19.7616131106067</c:v>
                </c:pt>
                <c:pt idx="312">
                  <c:v>18.5026450221696</c:v>
                </c:pt>
                <c:pt idx="313">
                  <c:v>17.2340934304203</c:v>
                </c:pt>
                <c:pt idx="314">
                  <c:v>15.9565835234996</c:v>
                </c:pt>
                <c:pt idx="315">
                  <c:v>14.6707586625784</c:v>
                </c:pt>
                <c:pt idx="316">
                  <c:v>13.377278865391</c:v>
                </c:pt>
                <c:pt idx="317">
                  <c:v>12.0768192131297</c:v>
                </c:pt>
                <c:pt idx="318">
                  <c:v>10.7700681901726</c:v>
                </c:pt>
                <c:pt idx="319">
                  <c:v>9.45772596651603</c:v>
                </c:pt>
                <c:pt idx="320">
                  <c:v>8.14050263309117</c:v>
                </c:pt>
                <c:pt idx="321">
                  <c:v>6.81911640034401</c:v>
                </c:pt>
                <c:pt idx="322">
                  <c:v>5.49429177053035</c:v>
                </c:pt>
                <c:pt idx="323">
                  <c:v>4.16675769417779</c:v>
                </c:pt>
                <c:pt idx="324">
                  <c:v>2.83724572106715</c:v>
                </c:pt>
                <c:pt idx="325">
                  <c:v>1.50648815589217</c:v>
                </c:pt>
                <c:pt idx="326">
                  <c:v>0.175216228491514</c:v>
                </c:pt>
                <c:pt idx="327">
                  <c:v>-1.15584171180485</c:v>
                </c:pt>
                <c:pt idx="328">
                  <c:v>-2.48596196857327</c:v>
                </c:pt>
                <c:pt idx="329">
                  <c:v>-3.8144272287533</c:v>
                </c:pt>
                <c:pt idx="330">
                  <c:v>-5.14052824301034</c:v>
                </c:pt>
                <c:pt idx="331">
                  <c:v>-6.46356544840544</c:v>
                </c:pt>
                <c:pt idx="332">
                  <c:v>-7.78285052635009</c:v>
                </c:pt>
                <c:pt idx="333">
                  <c:v>-9.09770788947726</c:v>
                </c:pt>
                <c:pt idx="334">
                  <c:v>-10.4074760916747</c:v>
                </c:pt>
                <c:pt idx="335">
                  <c:v>-11.7115091562194</c:v>
                </c:pt>
                <c:pt idx="336">
                  <c:v>-13.0091778176031</c:v>
                </c:pt>
                <c:pt idx="337">
                  <c:v>-14.2998706733438</c:v>
                </c:pt>
                <c:pt idx="338">
                  <c:v>-15.5829952427383</c:v>
                </c:pt>
                <c:pt idx="339">
                  <c:v>-16.8579789302117</c:v>
                </c:pt>
                <c:pt idx="340">
                  <c:v>-18.1242698915789</c:v>
                </c:pt>
                <c:pt idx="341">
                  <c:v>-19.3813378022006</c:v>
                </c:pt>
                <c:pt idx="342">
                  <c:v>-20.628674526649</c:v>
                </c:pt>
                <c:pt idx="343">
                  <c:v>-21.8657946901316</c:v>
                </c:pt>
                <c:pt idx="344">
                  <c:v>-23.0922361525118</c:v>
                </c:pt>
                <c:pt idx="345">
                  <c:v>-24.3075603863284</c:v>
                </c:pt>
                <c:pt idx="346">
                  <c:v>-25.5113527607584</c:v>
                </c:pt>
                <c:pt idx="347">
                  <c:v>-26.7032227339641</c:v>
                </c:pt>
                <c:pt idx="348">
                  <c:v>-27.882803956716</c:v>
                </c:pt>
                <c:pt idx="349">
                  <c:v>-29.0497542906162</c:v>
                </c:pt>
                <c:pt idx="350">
                  <c:v>-30.2037557446082</c:v>
                </c:pt>
                <c:pt idx="351">
                  <c:v>-31.344514333793</c:v>
                </c:pt>
                <c:pt idx="352">
                  <c:v>-32.4717598648582</c:v>
                </c:pt>
                <c:pt idx="353">
                  <c:v>-33.585245652644</c:v>
                </c:pt>
                <c:pt idx="354">
                  <c:v>-34.6847481725887</c:v>
                </c:pt>
                <c:pt idx="355">
                  <c:v>-35.7700666538993</c:v>
                </c:pt>
                <c:pt idx="356">
                  <c:v>-36.8410226184247</c:v>
                </c:pt>
                <c:pt idx="357">
                  <c:v>-37.8974593702264</c:v>
                </c:pt>
                <c:pt idx="358">
                  <c:v>-38.9392414408849</c:v>
                </c:pt>
                <c:pt idx="359">
                  <c:v>-39.9662539955106</c:v>
                </c:pt>
                <c:pt idx="360">
                  <c:v>-40.9784022043965</c:v>
                </c:pt>
                <c:pt idx="361">
                  <c:v>-41.9756105851188</c:v>
                </c:pt>
                <c:pt idx="362">
                  <c:v>-42.9578223197825</c:v>
                </c:pt>
                <c:pt idx="363">
                  <c:v>-43.9249985519224</c:v>
                </c:pt>
                <c:pt idx="364">
                  <c:v>-44.8771176674161</c:v>
                </c:pt>
                <c:pt idx="365">
                  <c:v>-45.8141745635308</c:v>
                </c:pt>
                <c:pt idx="366">
                  <c:v>-46.736179910034</c:v>
                </c:pt>
                <c:pt idx="367">
                  <c:v>-47.6431594060404</c:v>
                </c:pt>
                <c:pt idx="368">
                  <c:v>-48.5351530360362</c:v>
                </c:pt>
                <c:pt idx="369">
                  <c:v>-49.4122143282711</c:v>
                </c:pt>
                <c:pt idx="370">
                  <c:v>-50.274409618451</c:v>
                </c:pt>
                <c:pt idx="371">
                  <c:v>-51.1218173214108</c:v>
                </c:pt>
                <c:pt idx="372">
                  <c:v>-51.954527213194</c:v>
                </c:pt>
                <c:pt idx="373">
                  <c:v>-52.7726397257204</c:v>
                </c:pt>
                <c:pt idx="374">
                  <c:v>-53.57626525597</c:v>
                </c:pt>
                <c:pt idx="375">
                  <c:v>-54.3655234913864</c:v>
                </c:pt>
                <c:pt idx="376">
                  <c:v>-55.1405427529721</c:v>
                </c:pt>
                <c:pt idx="377">
                  <c:v>-55.9014593573285</c:v>
                </c:pt>
                <c:pt idx="378">
                  <c:v>-56.6484169986931</c:v>
                </c:pt>
                <c:pt idx="379">
                  <c:v>-57.3815661518316</c:v>
                </c:pt>
                <c:pt idx="380">
                  <c:v>-58.1010634964587</c:v>
                </c:pt>
                <c:pt idx="381">
                  <c:v>-58.8070713636971</c:v>
                </c:pt>
                <c:pt idx="382">
                  <c:v>-59.4997572049262</c:v>
                </c:pt>
                <c:pt idx="383">
                  <c:v>-60.1792930832304</c:v>
                </c:pt>
                <c:pt idx="384">
                  <c:v>-60.8458551875257</c:v>
                </c:pt>
                <c:pt idx="385">
                  <c:v>-61.499623369326</c:v>
                </c:pt>
                <c:pt idx="386">
                  <c:v>-62.1407807020066</c:v>
                </c:pt>
                <c:pt idx="387">
                  <c:v>-62.7695130623233</c:v>
                </c:pt>
                <c:pt idx="388">
                  <c:v>-63.3860087338697</c:v>
                </c:pt>
                <c:pt idx="389">
                  <c:v>-63.9904580320737</c:v>
                </c:pt>
                <c:pt idx="390">
                  <c:v>-64.5830529502806</c:v>
                </c:pt>
                <c:pt idx="391">
                  <c:v>-65.1639868264083</c:v>
                </c:pt>
                <c:pt idx="392">
                  <c:v>-65.7334540296203</c:v>
                </c:pt>
                <c:pt idx="393">
                  <c:v>-66.2916496664252</c:v>
                </c:pt>
                <c:pt idx="394">
                  <c:v>-66.8387693055764</c:v>
                </c:pt>
                <c:pt idx="395">
                  <c:v>-67.37500872113</c:v>
                </c:pt>
                <c:pt idx="396">
                  <c:v>-67.9005636529959</c:v>
                </c:pt>
                <c:pt idx="397">
                  <c:v>-68.4156295843109</c:v>
                </c:pt>
                <c:pt idx="398">
                  <c:v>-68.9204015349491</c:v>
                </c:pt>
                <c:pt idx="399">
                  <c:v>-69.4150738704923</c:v>
                </c:pt>
                <c:pt idx="400">
                  <c:v>-69.8998401259767</c:v>
                </c:pt>
                <c:pt idx="401">
                  <c:v>-70.3748928437419</c:v>
                </c:pt>
                <c:pt idx="402">
                  <c:v>-70.8404234247133</c:v>
                </c:pt>
                <c:pt idx="403">
                  <c:v>-71.2966219924673</c:v>
                </c:pt>
                <c:pt idx="404">
                  <c:v>-71.7436772694298</c:v>
                </c:pt>
                <c:pt idx="405">
                  <c:v>-72.1817764645852</c:v>
                </c:pt>
                <c:pt idx="406">
                  <c:v>-72.6111051720843</c:v>
                </c:pt>
                <c:pt idx="407">
                  <c:v>-73.0318472801539</c:v>
                </c:pt>
                <c:pt idx="408">
                  <c:v>-73.444184889739</c:v>
                </c:pt>
                <c:pt idx="409">
                  <c:v>-73.8482982423195</c:v>
                </c:pt>
                <c:pt idx="410">
                  <c:v>-74.2443656563669</c:v>
                </c:pt>
                <c:pt idx="411">
                  <c:v>-74.6325634719275</c:v>
                </c:pt>
                <c:pt idx="412">
                  <c:v>-75.0130660028397</c:v>
                </c:pt>
                <c:pt idx="413">
                  <c:v>-75.3860454961098</c:v>
                </c:pt>
                <c:pt idx="414">
                  <c:v>-75.7516720979965</c:v>
                </c:pt>
                <c:pt idx="415">
                  <c:v>-76.1101138263733</c:v>
                </c:pt>
                <c:pt idx="416">
                  <c:v>-76.4615365489548</c:v>
                </c:pt>
                <c:pt idx="417">
                  <c:v>-76.8061039669996</c:v>
                </c:pt>
                <c:pt idx="418">
                  <c:v>-77.1439776041133</c:v>
                </c:pt>
                <c:pt idx="419">
                  <c:v>-77.4753167998037</c:v>
                </c:pt>
                <c:pt idx="420">
                  <c:v>-77.8002787074494</c:v>
                </c:pt>
                <c:pt idx="421">
                  <c:v>-78.1190182963698</c:v>
                </c:pt>
                <c:pt idx="422">
                  <c:v>-78.4316883576936</c:v>
                </c:pt>
                <c:pt idx="423">
                  <c:v>-78.7384395137459</c:v>
                </c:pt>
                <c:pt idx="424">
                  <c:v>-79.0394202306874</c:v>
                </c:pt>
                <c:pt idx="425">
                  <c:v>-79.3347768341537</c:v>
                </c:pt>
                <c:pt idx="426">
                  <c:v>-79.6246535276605</c:v>
                </c:pt>
                <c:pt idx="427">
                  <c:v>-79.9091924135521</c:v>
                </c:pt>
                <c:pt idx="428">
                  <c:v>-80.1885335162851</c:v>
                </c:pt>
                <c:pt idx="429">
                  <c:v>-80.4628148078534</c:v>
                </c:pt>
                <c:pt idx="430">
                  <c:v>-80.7321722351685</c:v>
                </c:pt>
                <c:pt idx="431">
                  <c:v>-80.9967397492293</c:v>
                </c:pt>
                <c:pt idx="432">
                  <c:v>-81.2566493359159</c:v>
                </c:pt>
                <c:pt idx="433">
                  <c:v>-81.5120310482632</c:v>
                </c:pt>
                <c:pt idx="434">
                  <c:v>-81.7630130400702</c:v>
                </c:pt>
                <c:pt idx="435">
                  <c:v>-82.00972160072</c:v>
                </c:pt>
                <c:pt idx="436">
                  <c:v>-82.2522811910863</c:v>
                </c:pt>
                <c:pt idx="437">
                  <c:v>-82.4908144804157</c:v>
                </c:pt>
                <c:pt idx="438">
                  <c:v>-82.7254423840817</c:v>
                </c:pt>
                <c:pt idx="439">
                  <c:v>-82.9562841021131</c:v>
                </c:pt>
                <c:pt idx="440">
                  <c:v>-83.183457158407</c:v>
                </c:pt>
                <c:pt idx="441">
                  <c:v>-83.4070774405459</c:v>
                </c:pt>
                <c:pt idx="442">
                  <c:v>-83.6272592401378</c:v>
                </c:pt>
                <c:pt idx="443">
                  <c:v>-83.8441152936148</c:v>
                </c:pt>
                <c:pt idx="444">
                  <c:v>-84.0577568234181</c:v>
                </c:pt>
                <c:pt idx="445">
                  <c:v>-84.268293579516</c:v>
                </c:pt>
                <c:pt idx="446">
                  <c:v>-84.4758338811951</c:v>
                </c:pt>
                <c:pt idx="447">
                  <c:v>-84.6804846590772</c:v>
                </c:pt>
                <c:pt idx="448">
                  <c:v>-84.8823514973129</c:v>
                </c:pt>
                <c:pt idx="449">
                  <c:v>-85.0815386759121</c:v>
                </c:pt>
                <c:pt idx="450">
                  <c:v>-85.2781492131706</c:v>
                </c:pt>
                <c:pt idx="451">
                  <c:v>-85.4722849081595</c:v>
                </c:pt>
                <c:pt idx="452">
                  <c:v>-85.6640463832423</c:v>
                </c:pt>
                <c:pt idx="453">
                  <c:v>-85.8535331265937</c:v>
                </c:pt>
                <c:pt idx="454">
                  <c:v>-86.0408435346919</c:v>
                </c:pt>
                <c:pt idx="455">
                  <c:v>-86.2260749547589</c:v>
                </c:pt>
                <c:pt idx="456">
                  <c:v>-86.4093237271305</c:v>
                </c:pt>
                <c:pt idx="457">
                  <c:v>-86.5906852275328</c:v>
                </c:pt>
                <c:pt idx="458">
                  <c:v>-86.7702539092488</c:v>
                </c:pt>
                <c:pt idx="459">
                  <c:v>-86.9481233451596</c:v>
                </c:pt>
                <c:pt idx="460">
                  <c:v>-87.1243862696437</c:v>
                </c:pt>
                <c:pt idx="461">
                  <c:v>-87.2991346203226</c:v>
                </c:pt>
                <c:pt idx="462">
                  <c:v>-87.4724595796404</c:v>
                </c:pt>
                <c:pt idx="463">
                  <c:v>-87.6444516162653</c:v>
                </c:pt>
                <c:pt idx="464">
                  <c:v>-87.8152005263044</c:v>
                </c:pt>
                <c:pt idx="465">
                  <c:v>-87.9847954743209</c:v>
                </c:pt>
                <c:pt idx="466">
                  <c:v>-88.1533250341467</c:v>
                </c:pt>
                <c:pt idx="467">
                  <c:v>-88.3208772294793</c:v>
                </c:pt>
                <c:pt idx="468">
                  <c:v>-88.4875395742589</c:v>
                </c:pt>
                <c:pt idx="469">
                  <c:v>-88.6533991128142</c:v>
                </c:pt>
                <c:pt idx="470">
                  <c:v>-88.8185424597713</c:v>
                </c:pt>
                <c:pt idx="471">
                  <c:v>-88.9830558397181</c:v>
                </c:pt>
                <c:pt idx="472">
                  <c:v>-89.1470251266145</c:v>
                </c:pt>
                <c:pt idx="473">
                  <c:v>-89.3105358829423</c:v>
                </c:pt>
                <c:pt idx="474">
                  <c:v>-89.4736733985852</c:v>
                </c:pt>
                <c:pt idx="475">
                  <c:v>-89.6365227294285</c:v>
                </c:pt>
                <c:pt idx="476">
                  <c:v>-89.799168735671</c:v>
                </c:pt>
                <c:pt idx="477">
                  <c:v>-89.9616961198355</c:v>
                </c:pt>
                <c:pt idx="478">
                  <c:v>-90.124189464469</c:v>
                </c:pt>
                <c:pt idx="479">
                  <c:v>-90.2867332695164</c:v>
                </c:pt>
                <c:pt idx="480">
                  <c:v>-90.4494119893568</c:v>
                </c:pt>
                <c:pt idx="481">
                  <c:v>-90.612310069484</c:v>
                </c:pt>
                <c:pt idx="482">
                  <c:v>-90.7755119828156</c:v>
                </c:pt>
                <c:pt idx="483">
                  <c:v>-90.9391022656118</c:v>
                </c:pt>
                <c:pt idx="484">
                  <c:v>-91.1031655529812</c:v>
                </c:pt>
                <c:pt idx="485">
                  <c:v>-91.267786613954</c:v>
                </c:pt>
                <c:pt idx="486">
                  <c:v>-91.4330503860933</c:v>
                </c:pt>
                <c:pt idx="487">
                  <c:v>-91.5990420096214</c:v>
                </c:pt>
                <c:pt idx="488">
                  <c:v>-91.7658468610264</c:v>
                </c:pt>
                <c:pt idx="489">
                  <c:v>-91.93355058612</c:v>
                </c:pt>
                <c:pt idx="490">
                  <c:v>-92.1022391325081</c:v>
                </c:pt>
                <c:pt idx="491">
                  <c:v>-92.271998781435</c:v>
                </c:pt>
                <c:pt idx="492">
                  <c:v>-92.4429161789602</c:v>
                </c:pt>
                <c:pt idx="493">
                  <c:v>-92.6150783664191</c:v>
                </c:pt>
                <c:pt idx="494">
                  <c:v>-92.7885728101186</c:v>
                </c:pt>
                <c:pt idx="495">
                  <c:v>-92.963487430213</c:v>
                </c:pt>
                <c:pt idx="496">
                  <c:v>-93.1399106287001</c:v>
                </c:pt>
                <c:pt idx="497">
                  <c:v>-93.3179313164751</c:v>
                </c:pt>
                <c:pt idx="498">
                  <c:v>-93.4976389393721</c:v>
                </c:pt>
                <c:pt idx="499">
                  <c:v>-93.6791235031208</c:v>
                </c:pt>
                <c:pt idx="500">
                  <c:v>-93.8624755971365</c:v>
                </c:pt>
                <c:pt idx="501">
                  <c:v>-94.0477864170593</c:v>
                </c:pt>
                <c:pt idx="502">
                  <c:v>-94.2351477859514</c:v>
                </c:pt>
                <c:pt idx="503">
                  <c:v>-94.4246521740507</c:v>
                </c:pt>
                <c:pt idx="504">
                  <c:v>-94.6163927169787</c:v>
                </c:pt>
                <c:pt idx="505">
                  <c:v>-94.8104632322897</c:v>
                </c:pt>
                <c:pt idx="506">
                  <c:v>-95.0069582342374</c:v>
                </c:pt>
                <c:pt idx="507">
                  <c:v>-95.2059729466365</c:v>
                </c:pt>
                <c:pt idx="508">
                  <c:v>-95.4076033136774</c:v>
                </c:pt>
                <c:pt idx="509">
                  <c:v>-95.6119460085524</c:v>
                </c:pt>
                <c:pt idx="510">
                  <c:v>-95.8190984397369</c:v>
                </c:pt>
                <c:pt idx="511">
                  <c:v>-96.0291587547637</c:v>
                </c:pt>
                <c:pt idx="512">
                  <c:v>-96.2422258413153</c:v>
                </c:pt>
                <c:pt idx="513">
                  <c:v>-96.4583993254525</c:v>
                </c:pt>
                <c:pt idx="514">
                  <c:v>-96.6777795667852</c:v>
                </c:pt>
                <c:pt idx="515">
                  <c:v>-96.9004676503792</c:v>
                </c:pt>
                <c:pt idx="516">
                  <c:v>-97.1265653751862</c:v>
                </c:pt>
                <c:pt idx="517">
                  <c:v>-97.3561752387697</c:v>
                </c:pt>
                <c:pt idx="518">
                  <c:v>-97.5894004180886</c:v>
                </c:pt>
                <c:pt idx="519">
                  <c:v>-97.8263447460888</c:v>
                </c:pt>
                <c:pt idx="520">
                  <c:v>-98.0671126838442</c:v>
                </c:pt>
                <c:pt idx="521">
                  <c:v>-98.3118092879725</c:v>
                </c:pt>
                <c:pt idx="522">
                  <c:v>-98.5605401730423</c:v>
                </c:pt>
                <c:pt idx="523">
                  <c:v>-98.8134114686779</c:v>
                </c:pt>
                <c:pt idx="524">
                  <c:v>-99.0705297710536</c:v>
                </c:pt>
                <c:pt idx="525">
                  <c:v>-99.3320020884607</c:v>
                </c:pt>
                <c:pt idx="526">
                  <c:v>-99.5979357806203</c:v>
                </c:pt>
                <c:pt idx="527">
                  <c:v>-99.8684384914046</c:v>
                </c:pt>
                <c:pt idx="528">
                  <c:v>-100.14361807462</c:v>
                </c:pt>
                <c:pt idx="529">
                  <c:v>-100.423582512498</c:v>
                </c:pt>
                <c:pt idx="530">
                  <c:v>-100.708439826538</c:v>
                </c:pt>
                <c:pt idx="531">
                  <c:v>-100.998297980323</c:v>
                </c:pt>
                <c:pt idx="532">
                  <c:v>-101.293264773953</c:v>
                </c:pt>
                <c:pt idx="533">
                  <c:v>-101.593447729719</c:v>
                </c:pt>
                <c:pt idx="534">
                  <c:v>-101.898953968639</c:v>
                </c:pt>
                <c:pt idx="535">
                  <c:v>-102.209890077497</c:v>
                </c:pt>
                <c:pt idx="536">
                  <c:v>-102.526361966013</c:v>
                </c:pt>
                <c:pt idx="537">
                  <c:v>-102.848474713799</c:v>
                </c:pt>
                <c:pt idx="538">
                  <c:v>-103.176332406744</c:v>
                </c:pt>
                <c:pt idx="539">
                  <c:v>-103.510037962508</c:v>
                </c:pt>
                <c:pt idx="540">
                  <c:v>-103.849692944825</c:v>
                </c:pt>
                <c:pt idx="541">
                  <c:v>-104.195397366313</c:v>
                </c:pt>
              </c:numCache>
            </c:numRef>
          </c:yVal>
          <c:smooth val="1"/>
        </c:ser>
        <c:dLbls>
          <c:showLegendKey val="0"/>
          <c:showVal val="0"/>
          <c:showCatName val="0"/>
          <c:showSerName val="0"/>
          <c:showPercent val="0"/>
          <c:showBubbleSize val="0"/>
        </c:dLbls>
        <c:axId val="175891584"/>
        <c:axId val="175889792"/>
      </c:scatterChart>
      <c:valAx>
        <c:axId val="175885696"/>
        <c:scaling>
          <c:logBase val="10"/>
          <c:orientation val="minMax"/>
          <c:max val="2200000"/>
          <c:min val="10"/>
        </c:scaling>
        <c:delete val="0"/>
        <c:axPos val="b"/>
        <c:minorGridlines/>
        <c:title>
          <c:tx>
            <c:rich>
              <a:bodyPr rot="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Frequency</a:t>
                </a:r>
                <a:r>
                  <a:rPr lang="en-US" baseline="0"/>
                  <a:t> (Hz)</a:t>
                </a:r>
                <a:endParaRPr lang="en-US"/>
              </a:p>
            </c:rich>
          </c:tx>
          <c:layout/>
          <c:overlay val="0"/>
        </c:title>
        <c:numFmt formatCode="0" sourceLinked="0"/>
        <c:majorTickMark val="out"/>
        <c:minorTickMark val="none"/>
        <c:tickLblPos val="low"/>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887872"/>
        <c:crosses val="autoZero"/>
        <c:crossBetween val="midCat"/>
      </c:valAx>
      <c:valAx>
        <c:axId val="175887872"/>
        <c:scaling>
          <c:orientation val="minMax"/>
          <c:max val="40"/>
          <c:min val="-40"/>
        </c:scaling>
        <c:delete val="0"/>
        <c:axPos val="l"/>
        <c:majorGridlines/>
        <c:minorGridlines/>
        <c:title>
          <c:tx>
            <c:rich>
              <a:bodyPr rot="-540000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solidFill>
                      <a:srgbClr val="FF0000"/>
                    </a:solidFill>
                  </a:rPr>
                  <a:t>Gain</a:t>
                </a:r>
                <a:r>
                  <a:rPr lang="en-US" baseline="0">
                    <a:solidFill>
                      <a:srgbClr val="FF0000"/>
                    </a:solidFill>
                  </a:rPr>
                  <a:t> (dB)</a:t>
                </a:r>
                <a:endParaRPr lang="en-US">
                  <a:solidFill>
                    <a:srgbClr val="FF0000"/>
                  </a:solidFill>
                </a:endParaRPr>
              </a:p>
            </c:rich>
          </c:tx>
          <c:layout/>
          <c:overlay val="0"/>
        </c:title>
        <c:numFmt formatCode="General" sourceLinked="0"/>
        <c:majorTickMark val="out"/>
        <c:minorTickMark val="none"/>
        <c:tickLblPos val="nextTo"/>
        <c:txPr>
          <a:bodyPr rot="-60000000" spcFirstLastPara="0" vertOverflow="ellipsis" vert="horz" wrap="square" anchor="ctr" anchorCtr="1"/>
          <a:lstStyle/>
          <a:p>
            <a:pPr>
              <a:defRPr lang="pl-PL" sz="1000" b="0" i="0" u="none" strike="noStrike" kern="1200" baseline="0">
                <a:solidFill>
                  <a:srgbClr val="FF0000"/>
                </a:solidFill>
                <a:latin typeface="+mn-lt"/>
                <a:ea typeface="+mn-ea"/>
                <a:cs typeface="+mn-cs"/>
              </a:defRPr>
            </a:pPr>
          </a:p>
        </c:txPr>
        <c:crossAx val="175885696"/>
        <c:crosses val="autoZero"/>
        <c:crossBetween val="midCat"/>
        <c:majorUnit val="20"/>
        <c:minorUnit val="10"/>
      </c:valAx>
      <c:valAx>
        <c:axId val="175891584"/>
        <c:scaling>
          <c:logBase val="10"/>
          <c:orientation val="minMax"/>
        </c:scaling>
        <c:delete val="1"/>
        <c:axPos val="b"/>
        <c:numFmt formatCode="0.00"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889792"/>
        <c:crosses val="autoZero"/>
        <c:crossBetween val="midCat"/>
      </c:valAx>
      <c:valAx>
        <c:axId val="175889792"/>
        <c:scaling>
          <c:orientation val="minMax"/>
          <c:max val="180"/>
          <c:min val="-180"/>
        </c:scaling>
        <c:delete val="0"/>
        <c:axPos val="r"/>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lumMod val="95000"/>
                    <a:lumOff val="5000"/>
                  </a:schemeClr>
                </a:solidFill>
                <a:latin typeface="+mn-lt"/>
                <a:ea typeface="+mn-ea"/>
                <a:cs typeface="+mn-cs"/>
              </a:defRPr>
            </a:pPr>
          </a:p>
        </c:txPr>
        <c:crossAx val="175891584"/>
        <c:crosses val="max"/>
        <c:crossBetween val="midCat"/>
        <c:majorUnit val="90"/>
        <c:minorUnit val="45"/>
      </c:valAx>
    </c:plotArea>
    <c:plotVisOnly val="1"/>
    <c:dispBlanksAs val="gap"/>
    <c:showDLblsOverMax val="0"/>
    <c:extLst>
      <c:ext uri="{0b15fc19-7d7d-44ad-8c2d-2c3a37ce22c3}">
        <chartProps xmlns="https://web.wps.cn/et/2018/main" chartId="{eacd9145-f186-4656-9553-407a3899a6b8}"/>
      </c:ext>
    </c:extLst>
  </c:chart>
  <c:txPr>
    <a:bodyPr/>
    <a:lstStyle/>
    <a:p>
      <a:pPr>
        <a:defRPr lang="pl-PL"/>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pl-PL" sz="1800" b="1" i="0" u="none" strike="noStrike" kern="1200" baseline="0">
                <a:solidFill>
                  <a:schemeClr val="tx1"/>
                </a:solidFill>
                <a:latin typeface="+mn-lt"/>
                <a:ea typeface="+mn-ea"/>
                <a:cs typeface="+mn-cs"/>
              </a:defRPr>
            </a:pPr>
            <a:r>
              <a:rPr lang="en-US"/>
              <a:t>DCM Plant Transfer</a:t>
            </a:r>
            <a:r>
              <a:rPr lang="en-US" baseline="0"/>
              <a:t> Function</a:t>
            </a:r>
            <a:endParaRPr lang="en-US"/>
          </a:p>
        </c:rich>
      </c:tx>
      <c:layout/>
      <c:overlay val="0"/>
    </c:title>
    <c:autoTitleDeleted val="0"/>
    <c:plotArea>
      <c:layout/>
      <c:scatterChart>
        <c:scatterStyle val="smooth"/>
        <c:varyColors val="0"/>
        <c:ser>
          <c:idx val="0"/>
          <c:order val="0"/>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Loop_Modeling!$AQ$19:$AQ$560</c:f>
              <c:numCache>
                <c:formatCode>General</c:formatCode>
                <c:ptCount val="542"/>
                <c:pt idx="0">
                  <c:v>47.4898969605405</c:v>
                </c:pt>
                <c:pt idx="1">
                  <c:v>47.4898052725938</c:v>
                </c:pt>
                <c:pt idx="2">
                  <c:v>47.4897092656114</c:v>
                </c:pt>
                <c:pt idx="3">
                  <c:v>47.4896087362443</c:v>
                </c:pt>
                <c:pt idx="4">
                  <c:v>47.4895034715795</c:v>
                </c:pt>
                <c:pt idx="5">
                  <c:v>47.4893932486908</c:v>
                </c:pt>
                <c:pt idx="6">
                  <c:v>47.4892778341694</c:v>
                </c:pt>
                <c:pt idx="7">
                  <c:v>47.4891569836313</c:v>
                </c:pt>
                <c:pt idx="8">
                  <c:v>47.4890304412035</c:v>
                </c:pt>
                <c:pt idx="9">
                  <c:v>47.4888979389846</c:v>
                </c:pt>
                <c:pt idx="10">
                  <c:v>47.488759196481</c:v>
                </c:pt>
                <c:pt idx="11">
                  <c:v>47.4886139200166</c:v>
                </c:pt>
                <c:pt idx="12">
                  <c:v>47.4884618021155</c:v>
                </c:pt>
                <c:pt idx="13">
                  <c:v>47.4883025208552</c:v>
                </c:pt>
                <c:pt idx="14">
                  <c:v>47.4881357391897</c:v>
                </c:pt>
                <c:pt idx="15">
                  <c:v>47.4879611042423</c:v>
                </c:pt>
                <c:pt idx="16">
                  <c:v>47.4877782465639</c:v>
                </c:pt>
                <c:pt idx="17">
                  <c:v>47.4875867793577</c:v>
                </c:pt>
                <c:pt idx="18">
                  <c:v>47.4873862976681</c:v>
                </c:pt>
                <c:pt idx="19">
                  <c:v>47.4871763775315</c:v>
                </c:pt>
                <c:pt idx="20">
                  <c:v>47.4869565750879</c:v>
                </c:pt>
                <c:pt idx="21">
                  <c:v>47.4867264256511</c:v>
                </c:pt>
                <c:pt idx="22">
                  <c:v>47.4864854427367</c:v>
                </c:pt>
                <c:pt idx="23">
                  <c:v>47.4862331170436</c:v>
                </c:pt>
                <c:pt idx="24">
                  <c:v>47.4859689153903</c:v>
                </c:pt>
                <c:pt idx="25">
                  <c:v>47.4856922796008</c:v>
                </c:pt>
                <c:pt idx="26">
                  <c:v>47.4854026253392</c:v>
                </c:pt>
                <c:pt idx="27">
                  <c:v>47.4850993408914</c:v>
                </c:pt>
                <c:pt idx="28">
                  <c:v>47.4847817858899</c:v>
                </c:pt>
                <c:pt idx="29">
                  <c:v>47.4844492899805</c:v>
                </c:pt>
                <c:pt idx="30">
                  <c:v>47.4841011514273</c:v>
                </c:pt>
                <c:pt idx="31">
                  <c:v>47.4837366356547</c:v>
                </c:pt>
                <c:pt idx="32">
                  <c:v>47.4833549737211</c:v>
                </c:pt>
                <c:pt idx="33">
                  <c:v>47.4829553607243</c:v>
                </c:pt>
                <c:pt idx="34">
                  <c:v>47.4825369541334</c:v>
                </c:pt>
                <c:pt idx="35">
                  <c:v>47.482098872044</c:v>
                </c:pt>
                <c:pt idx="36">
                  <c:v>47.4816401913561</c:v>
                </c:pt>
                <c:pt idx="37">
                  <c:v>47.4811599458662</c:v>
                </c:pt>
                <c:pt idx="38">
                  <c:v>47.4806571242756</c:v>
                </c:pt>
                <c:pt idx="39">
                  <c:v>47.4801306681065</c:v>
                </c:pt>
                <c:pt idx="40">
                  <c:v>47.4795794695257</c:v>
                </c:pt>
                <c:pt idx="41">
                  <c:v>47.4790023690682</c:v>
                </c:pt>
                <c:pt idx="42">
                  <c:v>47.4783981532602</c:v>
                </c:pt>
                <c:pt idx="43">
                  <c:v>47.4777655521342</c:v>
                </c:pt>
                <c:pt idx="44">
                  <c:v>47.4771032366334</c:v>
                </c:pt>
                <c:pt idx="45">
                  <c:v>47.4764098158994</c:v>
                </c:pt>
                <c:pt idx="46">
                  <c:v>47.4756838344402</c:v>
                </c:pt>
                <c:pt idx="47">
                  <c:v>47.4749237691712</c:v>
                </c:pt>
                <c:pt idx="48">
                  <c:v>47.4741280263258</c:v>
                </c:pt>
                <c:pt idx="49">
                  <c:v>47.4732949382292</c:v>
                </c:pt>
                <c:pt idx="50">
                  <c:v>47.4724227599304</c:v>
                </c:pt>
                <c:pt idx="51">
                  <c:v>47.471509665686</c:v>
                </c:pt>
                <c:pt idx="52">
                  <c:v>47.470553745291</c:v>
                </c:pt>
                <c:pt idx="53">
                  <c:v>47.4695530002486</c:v>
                </c:pt>
                <c:pt idx="54">
                  <c:v>47.4685053397752</c:v>
                </c:pt>
                <c:pt idx="55">
                  <c:v>47.4674085766318</c:v>
                </c:pt>
                <c:pt idx="56">
                  <c:v>47.4662604227763</c:v>
                </c:pt>
                <c:pt idx="57">
                  <c:v>47.4650584848301</c:v>
                </c:pt>
                <c:pt idx="58">
                  <c:v>47.4638002593506</c:v>
                </c:pt>
                <c:pt idx="59">
                  <c:v>47.4624831279051</c:v>
                </c:pt>
                <c:pt idx="60">
                  <c:v>47.4611043519345</c:v>
                </c:pt>
                <c:pt idx="61">
                  <c:v>47.4596610674044</c:v>
                </c:pt>
                <c:pt idx="62">
                  <c:v>47.4581502792313</c:v>
                </c:pt>
                <c:pt idx="63">
                  <c:v>47.4565688554797</c:v>
                </c:pt>
                <c:pt idx="64">
                  <c:v>47.4549135213196</c:v>
                </c:pt>
                <c:pt idx="65">
                  <c:v>47.4531808527384</c:v>
                </c:pt>
                <c:pt idx="66">
                  <c:v>47.4513672699972</c:v>
                </c:pt>
                <c:pt idx="67">
                  <c:v>47.4494690308254</c:v>
                </c:pt>
                <c:pt idx="68">
                  <c:v>47.4474822233434</c:v>
                </c:pt>
                <c:pt idx="69">
                  <c:v>47.4454027587072</c:v>
                </c:pt>
                <c:pt idx="70">
                  <c:v>47.4432263634646</c:v>
                </c:pt>
                <c:pt idx="71">
                  <c:v>47.4409485716168</c:v>
                </c:pt>
                <c:pt idx="72">
                  <c:v>47.4385647163764</c:v>
                </c:pt>
                <c:pt idx="73">
                  <c:v>47.4360699216135</c:v>
                </c:pt>
                <c:pt idx="74">
                  <c:v>47.4334590929838</c:v>
                </c:pt>
                <c:pt idx="75">
                  <c:v>47.430726908729</c:v>
                </c:pt>
                <c:pt idx="76">
                  <c:v>47.4278678101449</c:v>
                </c:pt>
                <c:pt idx="77">
                  <c:v>47.424875991708</c:v>
                </c:pt>
                <c:pt idx="78">
                  <c:v>47.4217453908559</c:v>
                </c:pt>
                <c:pt idx="79">
                  <c:v>47.4184696774159</c:v>
                </c:pt>
                <c:pt idx="80">
                  <c:v>47.4150422426743</c:v>
                </c:pt>
                <c:pt idx="81">
                  <c:v>47.4114561880853</c:v>
                </c:pt>
                <c:pt idx="82">
                  <c:v>47.4077043136131</c:v>
                </c:pt>
                <c:pt idx="83">
                  <c:v>47.4037791057064</c:v>
                </c:pt>
                <c:pt idx="84">
                  <c:v>47.3996727249021</c:v>
                </c:pt>
                <c:pt idx="85">
                  <c:v>47.3953769930596</c:v>
                </c:pt>
                <c:pt idx="86">
                  <c:v>47.3908833802242</c:v>
                </c:pt>
                <c:pt idx="87">
                  <c:v>47.3861829911253</c:v>
                </c:pt>
                <c:pt idx="88">
                  <c:v>47.3812665513104</c:v>
                </c:pt>
                <c:pt idx="89">
                  <c:v>47.3761243929228</c:v>
                </c:pt>
                <c:pt idx="90">
                  <c:v>47.3707464401306</c:v>
                </c:pt>
                <c:pt idx="91">
                  <c:v>47.3651221942174</c:v>
                </c:pt>
                <c:pt idx="92">
                  <c:v>47.3592407183471</c:v>
                </c:pt>
                <c:pt idx="93">
                  <c:v>47.3530906220194</c:v>
                </c:pt>
                <c:pt idx="94">
                  <c:v>47.3466600452338</c:v>
                </c:pt>
                <c:pt idx="95">
                  <c:v>47.3399366423842</c:v>
                </c:pt>
                <c:pt idx="96">
                  <c:v>47.3329075659096</c:v>
                </c:pt>
                <c:pt idx="97">
                  <c:v>47.32555944973</c:v>
                </c:pt>
                <c:pt idx="98">
                  <c:v>47.3178783925008</c:v>
                </c:pt>
                <c:pt idx="99">
                  <c:v>47.3098499407242</c:v>
                </c:pt>
                <c:pt idx="100">
                  <c:v>47.3014590717588</c:v>
                </c:pt>
                <c:pt idx="101">
                  <c:v>47.2926901767765</c:v>
                </c:pt>
                <c:pt idx="102">
                  <c:v>47.2835270437195</c:v>
                </c:pt>
                <c:pt idx="103">
                  <c:v>47.2739528403149</c:v>
                </c:pt>
                <c:pt idx="104">
                  <c:v>47.2639500972143</c:v>
                </c:pt>
                <c:pt idx="105">
                  <c:v>47.253500691328</c:v>
                </c:pt>
                <c:pt idx="106">
                  <c:v>47.2425858294327</c:v>
                </c:pt>
                <c:pt idx="107">
                  <c:v>47.2311860321385</c:v>
                </c:pt>
                <c:pt idx="108">
                  <c:v>47.2192811183071</c:v>
                </c:pt>
                <c:pt idx="109">
                  <c:v>47.2068501900223</c:v>
                </c:pt>
                <c:pt idx="110">
                  <c:v>47.1938716182211</c:v>
                </c:pt>
                <c:pt idx="111">
                  <c:v>47.1803230291021</c:v>
                </c:pt>
                <c:pt idx="112">
                  <c:v>47.166181291435</c:v>
                </c:pt>
                <c:pt idx="113">
                  <c:v>47.1514225049067</c:v>
                </c:pt>
                <c:pt idx="114">
                  <c:v>47.1360219896431</c:v>
                </c:pt>
                <c:pt idx="115">
                  <c:v>47.1199542770586</c:v>
                </c:pt>
                <c:pt idx="116">
                  <c:v>47.1031931021908</c:v>
                </c:pt>
                <c:pt idx="117">
                  <c:v>47.0857113976881</c:v>
                </c:pt>
                <c:pt idx="118">
                  <c:v>47.0674812896229</c:v>
                </c:pt>
                <c:pt idx="119">
                  <c:v>47.0484740953135</c:v>
                </c:pt>
                <c:pt idx="120">
                  <c:v>47.0286603233417</c:v>
                </c:pt>
                <c:pt idx="121">
                  <c:v>47.0080096759621</c:v>
                </c:pt>
                <c:pt idx="122">
                  <c:v>46.9864910541011</c:v>
                </c:pt>
                <c:pt idx="123">
                  <c:v>46.9640725651488</c:v>
                </c:pt>
                <c:pt idx="124">
                  <c:v>46.9407215337518</c:v>
                </c:pt>
                <c:pt idx="125">
                  <c:v>46.9164045158119</c:v>
                </c:pt>
                <c:pt idx="126">
                  <c:v>46.8910873158992</c:v>
                </c:pt>
                <c:pt idx="127">
                  <c:v>46.8647350082838</c:v>
                </c:pt>
                <c:pt idx="128">
                  <c:v>46.8373119617867</c:v>
                </c:pt>
                <c:pt idx="129">
                  <c:v>46.8087818686422</c:v>
                </c:pt>
                <c:pt idx="130">
                  <c:v>46.7791077775589</c:v>
                </c:pt>
                <c:pt idx="131">
                  <c:v>46.7482521311488</c:v>
                </c:pt>
                <c:pt idx="132">
                  <c:v>46.7161768078845</c:v>
                </c:pt>
                <c:pt idx="133">
                  <c:v>46.682843168723</c:v>
                </c:pt>
                <c:pt idx="134">
                  <c:v>46.6482121085152</c:v>
                </c:pt>
                <c:pt idx="135">
                  <c:v>46.6122441122957</c:v>
                </c:pt>
                <c:pt idx="136">
                  <c:v>46.5748993165196</c:v>
                </c:pt>
                <c:pt idx="137">
                  <c:v>46.5361375752795</c:v>
                </c:pt>
                <c:pt idx="138">
                  <c:v>46.4959185315067</c:v>
                </c:pt>
                <c:pt idx="139">
                  <c:v>46.4542016931159</c:v>
                </c:pt>
                <c:pt idx="140">
                  <c:v>46.4109465140167</c:v>
                </c:pt>
                <c:pt idx="141">
                  <c:v>46.3661124798684</c:v>
                </c:pt>
                <c:pt idx="142">
                  <c:v>46.3196591984094</c:v>
                </c:pt>
                <c:pt idx="143">
                  <c:v>46.2715464941408</c:v>
                </c:pt>
                <c:pt idx="144">
                  <c:v>46.2217345070974</c:v>
                </c:pt>
                <c:pt idx="145">
                  <c:v>46.170183795382</c:v>
                </c:pt>
                <c:pt idx="146">
                  <c:v>46.1168554410895</c:v>
                </c:pt>
                <c:pt idx="147">
                  <c:v>46.0617111591927</c:v>
                </c:pt>
                <c:pt idx="148">
                  <c:v>46.0047134089111</c:v>
                </c:pt>
                <c:pt idx="149">
                  <c:v>45.9458255070307</c:v>
                </c:pt>
                <c:pt idx="150">
                  <c:v>45.8850117425976</c:v>
                </c:pt>
                <c:pt idx="151">
                  <c:v>45.8222374923615</c:v>
                </c:pt>
                <c:pt idx="152">
                  <c:v>45.7574693363048</c:v>
                </c:pt>
                <c:pt idx="153">
                  <c:v>45.6906751725578</c:v>
                </c:pt>
                <c:pt idx="154">
                  <c:v>45.6218243309713</c:v>
                </c:pt>
                <c:pt idx="155">
                  <c:v>45.5508876845933</c:v>
                </c:pt>
                <c:pt idx="156">
                  <c:v>45.4778377582852</c:v>
                </c:pt>
                <c:pt idx="157">
                  <c:v>45.4026488337006</c:v>
                </c:pt>
                <c:pt idx="158">
                  <c:v>45.3252970498581</c:v>
                </c:pt>
                <c:pt idx="159">
                  <c:v>45.2457604985442</c:v>
                </c:pt>
                <c:pt idx="160">
                  <c:v>45.1640193138097</c:v>
                </c:pt>
                <c:pt idx="161">
                  <c:v>45.0800557548468</c:v>
                </c:pt>
                <c:pt idx="162">
                  <c:v>44.9938542815794</c:v>
                </c:pt>
                <c:pt idx="163">
                  <c:v>44.9054016223452</c:v>
                </c:pt>
                <c:pt idx="164">
                  <c:v>44.8146868331069</c:v>
                </c:pt>
                <c:pt idx="165">
                  <c:v>44.7217013476953</c:v>
                </c:pt>
                <c:pt idx="166">
                  <c:v>44.6264390186621</c:v>
                </c:pt>
                <c:pt idx="167">
                  <c:v>44.5288961483981</c:v>
                </c:pt>
                <c:pt idx="168">
                  <c:v>44.4290715102586</c:v>
                </c:pt>
                <c:pt idx="169">
                  <c:v>44.3269663595262</c:v>
                </c:pt>
                <c:pt idx="170">
                  <c:v>44.2225844341334</c:v>
                </c:pt>
                <c:pt idx="171">
                  <c:v>44.1159319451601</c:v>
                </c:pt>
                <c:pt idx="172">
                  <c:v>44.0070175572132</c:v>
                </c:pt>
                <c:pt idx="173">
                  <c:v>43.8958523588882</c:v>
                </c:pt>
                <c:pt idx="174">
                  <c:v>43.7824498235985</c:v>
                </c:pt>
                <c:pt idx="175">
                  <c:v>43.6668257611449</c:v>
                </c:pt>
                <c:pt idx="176">
                  <c:v>43.5489982604729</c:v>
                </c:pt>
                <c:pt idx="177">
                  <c:v>43.4289876241405</c:v>
                </c:pt>
                <c:pt idx="178">
                  <c:v>43.3068162950799</c:v>
                </c:pt>
                <c:pt idx="179">
                  <c:v>43.1825087762965</c:v>
                </c:pt>
                <c:pt idx="180">
                  <c:v>43.056091544191</c:v>
                </c:pt>
                <c:pt idx="181">
                  <c:v>42.9275929562314</c:v>
                </c:pt>
                <c:pt idx="182">
                  <c:v>42.7970431537289</c:v>
                </c:pt>
                <c:pt idx="183">
                  <c:v>42.6644739604896</c:v>
                </c:pt>
                <c:pt idx="184">
                  <c:v>42.5299187781225</c:v>
                </c:pt>
                <c:pt idx="185">
                  <c:v>42.3934124787871</c:v>
                </c:pt>
                <c:pt idx="186">
                  <c:v>42.2549912961501</c:v>
                </c:pt>
                <c:pt idx="187">
                  <c:v>42.1146927153094</c:v>
                </c:pt>
                <c:pt idx="188">
                  <c:v>41.9725553624142</c:v>
                </c:pt>
                <c:pt idx="189">
                  <c:v>41.8286188946835</c:v>
                </c:pt>
                <c:pt idx="190">
                  <c:v>41.6829238914838</c:v>
                </c:pt>
                <c:pt idx="191">
                  <c:v>41.5355117470902</c:v>
                </c:pt>
                <c:pt idx="192">
                  <c:v>41.3864245657057</c:v>
                </c:pt>
                <c:pt idx="193">
                  <c:v>41.2357050592654</c:v>
                </c:pt>
                <c:pt idx="194">
                  <c:v>41.0833964485038</c:v>
                </c:pt>
                <c:pt idx="195">
                  <c:v>40.929542367706</c:v>
                </c:pt>
                <c:pt idx="196">
                  <c:v>40.7741867735177</c:v>
                </c:pt>
                <c:pt idx="197">
                  <c:v>40.617373858129</c:v>
                </c:pt>
                <c:pt idx="198">
                  <c:v>40.459147967099</c:v>
                </c:pt>
                <c:pt idx="199">
                  <c:v>40.2995535220392</c:v>
                </c:pt>
                <c:pt idx="200">
                  <c:v>40.1386349483198</c:v>
                </c:pt>
                <c:pt idx="201">
                  <c:v>39.9764366079217</c:v>
                </c:pt>
                <c:pt idx="202">
                  <c:v>39.8130027375122</c:v>
                </c:pt>
                <c:pt idx="203">
                  <c:v>39.6483773917797</c:v>
                </c:pt>
                <c:pt idx="204">
                  <c:v>39.4826043920293</c:v>
                </c:pt>
                <c:pt idx="205">
                  <c:v>39.3157272800035</c:v>
                </c:pt>
                <c:pt idx="206">
                  <c:v>39.1477892768635</c:v>
                </c:pt>
                <c:pt idx="207">
                  <c:v>38.9788332472397</c:v>
                </c:pt>
                <c:pt idx="208">
                  <c:v>38.8089016682343</c:v>
                </c:pt>
                <c:pt idx="209">
                  <c:v>38.63803660324</c:v>
                </c:pt>
                <c:pt idx="210">
                  <c:v>38.4662796804201</c:v>
                </c:pt>
                <c:pt idx="211">
                  <c:v>38.2936720756811</c:v>
                </c:pt>
                <c:pt idx="212">
                  <c:v>38.1202544999575</c:v>
                </c:pt>
                <c:pt idx="213">
                  <c:v>37.9460671906175</c:v>
                </c:pt>
                <c:pt idx="214">
                  <c:v>37.7711499067945</c:v>
                </c:pt>
                <c:pt idx="215">
                  <c:v>37.5955419284401</c:v>
                </c:pt>
                <c:pt idx="216">
                  <c:v>37.4192820588973</c:v>
                </c:pt>
                <c:pt idx="217">
                  <c:v>37.2424086307841</c:v>
                </c:pt>
                <c:pt idx="218">
                  <c:v>37.0649595149857</c:v>
                </c:pt>
                <c:pt idx="219">
                  <c:v>36.8869721325493</c:v>
                </c:pt>
                <c:pt idx="220">
                  <c:v>36.7084834692807</c:v>
                </c:pt>
                <c:pt idx="221">
                  <c:v>36.5295300928448</c:v>
                </c:pt>
                <c:pt idx="222">
                  <c:v>36.3501481721768</c:v>
                </c:pt>
                <c:pt idx="223">
                  <c:v>36.170373499014</c:v>
                </c:pt>
                <c:pt idx="224">
                  <c:v>35.990241511366</c:v>
                </c:pt>
                <c:pt idx="225">
                  <c:v>35.8097873187415</c:v>
                </c:pt>
                <c:pt idx="226">
                  <c:v>35.6290457289616</c:v>
                </c:pt>
                <c:pt idx="227">
                  <c:v>35.4480512763886</c:v>
                </c:pt>
                <c:pt idx="228">
                  <c:v>35.2668382514064</c:v>
                </c:pt>
                <c:pt idx="229">
                  <c:v>35.0854407309964</c:v>
                </c:pt>
                <c:pt idx="230">
                  <c:v>34.9038926102521</c:v>
                </c:pt>
                <c:pt idx="231">
                  <c:v>34.7222276346819</c:v>
                </c:pt>
                <c:pt idx="232">
                  <c:v>34.5404794331548</c:v>
                </c:pt>
                <c:pt idx="233">
                  <c:v>34.3586815513419</c:v>
                </c:pt>
                <c:pt idx="234">
                  <c:v>34.1768674855152</c:v>
                </c:pt>
                <c:pt idx="235">
                  <c:v>33.9950707165595</c:v>
                </c:pt>
                <c:pt idx="236">
                  <c:v>33.8133247440617</c:v>
                </c:pt>
                <c:pt idx="237">
                  <c:v>33.6316631203358</c:v>
                </c:pt>
                <c:pt idx="238">
                  <c:v>33.4501194842456</c:v>
                </c:pt>
                <c:pt idx="239">
                  <c:v>33.268727594685</c:v>
                </c:pt>
                <c:pt idx="240">
                  <c:v>33.087521363573</c:v>
                </c:pt>
                <c:pt idx="241">
                  <c:v>32.9065348882203</c:v>
                </c:pt>
                <c:pt idx="242">
                  <c:v>32.7258024829199</c:v>
                </c:pt>
                <c:pt idx="243">
                  <c:v>32.5453587096119</c:v>
                </c:pt>
                <c:pt idx="244">
                  <c:v>32.3652384074673</c:v>
                </c:pt>
                <c:pt idx="245">
                  <c:v>32.1854767212333</c:v>
                </c:pt>
                <c:pt idx="246">
                  <c:v>32.0061091281769</c:v>
                </c:pt>
                <c:pt idx="247">
                  <c:v>31.8271714634567</c:v>
                </c:pt>
                <c:pt idx="248">
                  <c:v>31.648699943753</c:v>
                </c:pt>
                <c:pt idx="249">
                  <c:v>31.470731188974</c:v>
                </c:pt>
                <c:pt idx="250">
                  <c:v>31.2933022418574</c:v>
                </c:pt>
                <c:pt idx="251">
                  <c:v>31.1164505852769</c:v>
                </c:pt>
                <c:pt idx="252">
                  <c:v>30.940214157061</c:v>
                </c:pt>
                <c:pt idx="253">
                  <c:v>30.7646313621271</c:v>
                </c:pt>
                <c:pt idx="254">
                  <c:v>30.5897410817291</c:v>
                </c:pt>
                <c:pt idx="255">
                  <c:v>30.415582679616</c:v>
                </c:pt>
                <c:pt idx="256">
                  <c:v>30.2421960048955</c:v>
                </c:pt>
                <c:pt idx="257">
                  <c:v>30.0696213913978</c:v>
                </c:pt>
                <c:pt idx="258">
                  <c:v>29.897899653336</c:v>
                </c:pt>
                <c:pt idx="259">
                  <c:v>29.7270720770595</c:v>
                </c:pt>
                <c:pt idx="260">
                  <c:v>29.5571804087067</c:v>
                </c:pt>
                <c:pt idx="261">
                  <c:v>29.388266837565</c:v>
                </c:pt>
                <c:pt idx="262">
                  <c:v>29.2203739749586</c:v>
                </c:pt>
                <c:pt idx="263">
                  <c:v>29.0535448284953</c:v>
                </c:pt>
                <c:pt idx="264">
                  <c:v>28.8878227715176</c:v>
                </c:pt>
                <c:pt idx="265">
                  <c:v>28.7232515076232</c:v>
                </c:pt>
                <c:pt idx="266">
                  <c:v>28.5598750301363</c:v>
                </c:pt>
                <c:pt idx="267">
                  <c:v>28.3977375764406</c:v>
                </c:pt>
                <c:pt idx="268">
                  <c:v>28.2368835771064</c:v>
                </c:pt>
                <c:pt idx="269">
                  <c:v>28.0773575997801</c:v>
                </c:pt>
                <c:pt idx="270">
                  <c:v>27.919204287834</c:v>
                </c:pt>
                <c:pt idx="271">
                  <c:v>27.7624682938134</c:v>
                </c:pt>
                <c:pt idx="272">
                  <c:v>27.6071942077606</c:v>
                </c:pt>
                <c:pt idx="273">
                  <c:v>27.4534264805336</c:v>
                </c:pt>
                <c:pt idx="274">
                  <c:v>27.3012093422889</c:v>
                </c:pt>
                <c:pt idx="275">
                  <c:v>27.1505867163429</c:v>
                </c:pt>
                <c:pt idx="276">
                  <c:v>27.0016021286789</c:v>
                </c:pt>
                <c:pt idx="277">
                  <c:v>26.8542986134163</c:v>
                </c:pt>
                <c:pt idx="278">
                  <c:v>26.7087186146148</c:v>
                </c:pt>
                <c:pt idx="279">
                  <c:v>26.5649038848358</c:v>
                </c:pt>
                <c:pt idx="280">
                  <c:v>26.4228953809386</c:v>
                </c:pt>
                <c:pt idx="281">
                  <c:v>26.2827331576373</c:v>
                </c:pt>
                <c:pt idx="282">
                  <c:v>26.1444562593969</c:v>
                </c:pt>
                <c:pt idx="283">
                  <c:v>26.0081026112879</c:v>
                </c:pt>
                <c:pt idx="284">
                  <c:v>25.8737089094662</c:v>
                </c:pt>
                <c:pt idx="285">
                  <c:v>25.7413105119779</c:v>
                </c:pt>
                <c:pt idx="286">
                  <c:v>25.6109413306201</c:v>
                </c:pt>
                <c:pt idx="287">
                  <c:v>25.4826337246171</c:v>
                </c:pt>
                <c:pt idx="288">
                  <c:v>25.3564183968842</c:v>
                </c:pt>
                <c:pt idx="289">
                  <c:v>25.232324293662</c:v>
                </c:pt>
                <c:pt idx="290">
                  <c:v>25.1103785083059</c:v>
                </c:pt>
                <c:pt idx="291">
                  <c:v>24.990606190005</c:v>
                </c:pt>
                <c:pt idx="292">
                  <c:v>24.8730304581871</c:v>
                </c:pt>
                <c:pt idx="293">
                  <c:v>24.7576723233388</c:v>
                </c:pt>
                <c:pt idx="294">
                  <c:v>24.6445506149326</c:v>
                </c:pt>
                <c:pt idx="295">
                  <c:v>24.5336819171062</c:v>
                </c:pt>
                <c:pt idx="296">
                  <c:v>24.4250805126829</c:v>
                </c:pt>
                <c:pt idx="297">
                  <c:v>24.3187583360595</c:v>
                </c:pt>
                <c:pt idx="298">
                  <c:v>24.2147249354156</c:v>
                </c:pt>
                <c:pt idx="299">
                  <c:v>24.1129874446208</c:v>
                </c:pt>
                <c:pt idx="300">
                  <c:v>24.0135505651315</c:v>
                </c:pt>
                <c:pt idx="301">
                  <c:v>23.9164165580828</c:v>
                </c:pt>
                <c:pt idx="302">
                  <c:v>23.8215852466893</c:v>
                </c:pt>
                <c:pt idx="303">
                  <c:v>23.7290540289748</c:v>
                </c:pt>
                <c:pt idx="304">
                  <c:v>23.63881790076</c:v>
                </c:pt>
                <c:pt idx="305">
                  <c:v>23.5508694887454</c:v>
                </c:pt>
                <c:pt idx="306">
                  <c:v>23.4651990934364</c:v>
                </c:pt>
                <c:pt idx="307">
                  <c:v>23.3817947415745</c:v>
                </c:pt>
                <c:pt idx="308">
                  <c:v>23.3006422476554</c:v>
                </c:pt>
                <c:pt idx="309">
                  <c:v>23.2217252840481</c:v>
                </c:pt>
                <c:pt idx="310">
                  <c:v>23.1450254591541</c:v>
                </c:pt>
                <c:pt idx="311">
                  <c:v>23.070522402995</c:v>
                </c:pt>
                <c:pt idx="312">
                  <c:v>22.9981938595641</c:v>
                </c:pt>
                <c:pt idx="313">
                  <c:v>22.9280157852398</c:v>
                </c:pt>
                <c:pt idx="314">
                  <c:v>22.8599624525244</c:v>
                </c:pt>
                <c:pt idx="315">
                  <c:v>22.7940065583577</c:v>
                </c:pt>
                <c:pt idx="316">
                  <c:v>22.7301193362346</c:v>
                </c:pt>
                <c:pt idx="317">
                  <c:v>22.6682706713641</c:v>
                </c:pt>
                <c:pt idx="318">
                  <c:v>22.6084292181042</c:v>
                </c:pt>
                <c:pt idx="319">
                  <c:v>22.5505625189294</c:v>
                </c:pt>
                <c:pt idx="320">
                  <c:v>22.4946371242065</c:v>
                </c:pt>
                <c:pt idx="321">
                  <c:v>22.440618712085</c:v>
                </c:pt>
                <c:pt idx="322">
                  <c:v>22.3884722078443</c:v>
                </c:pt>
                <c:pt idx="323">
                  <c:v>22.3381619020801</c:v>
                </c:pt>
                <c:pt idx="324">
                  <c:v>22.2896515671571</c:v>
                </c:pt>
                <c:pt idx="325">
                  <c:v>22.2429045714045</c:v>
                </c:pt>
                <c:pt idx="326">
                  <c:v>22.1978839905802</c:v>
                </c:pt>
                <c:pt idx="327">
                  <c:v>22.1545527161833</c:v>
                </c:pt>
                <c:pt idx="328">
                  <c:v>22.1128735602453</c:v>
                </c:pt>
                <c:pt idx="329">
                  <c:v>22.0728093562865</c:v>
                </c:pt>
                <c:pt idx="330">
                  <c:v>22.0343230561739</c:v>
                </c:pt>
                <c:pt idx="331">
                  <c:v>21.997377822669</c:v>
                </c:pt>
                <c:pt idx="332">
                  <c:v>21.9619371175033</c:v>
                </c:pt>
                <c:pt idx="333">
                  <c:v>21.9279647848647</c:v>
                </c:pt>
                <c:pt idx="334">
                  <c:v>21.8954251302257</c:v>
                </c:pt>
                <c:pt idx="335">
                  <c:v>21.8642829944799</c:v>
                </c:pt>
                <c:pt idx="336">
                  <c:v>21.8345038233975</c:v>
                </c:pt>
                <c:pt idx="337">
                  <c:v>21.8060537324402</c:v>
                </c:pt>
                <c:pt idx="338">
                  <c:v>21.7788995670102</c:v>
                </c:pt>
                <c:pt idx="339">
                  <c:v>21.753008958234</c:v>
                </c:pt>
                <c:pt idx="340">
                  <c:v>21.7283503744058</c:v>
                </c:pt>
                <c:pt idx="341">
                  <c:v>21.7048931682396</c:v>
                </c:pt>
                <c:pt idx="342">
                  <c:v>21.6826076200898</c:v>
                </c:pt>
                <c:pt idx="343">
                  <c:v>21.6614649773227</c:v>
                </c:pt>
                <c:pt idx="344">
                  <c:v>21.6414374900251</c:v>
                </c:pt>
                <c:pt idx="345">
                  <c:v>21.6224984432517</c:v>
                </c:pt>
                <c:pt idx="346">
                  <c:v>21.6046221860125</c:v>
                </c:pt>
                <c:pt idx="347">
                  <c:v>21.5877841572107</c:v>
                </c:pt>
                <c:pt idx="348">
                  <c:v>21.5719609087385</c:v>
                </c:pt>
                <c:pt idx="349">
                  <c:v>21.5571301259401</c:v>
                </c:pt>
                <c:pt idx="350">
                  <c:v>21.5432706456483</c:v>
                </c:pt>
                <c:pt idx="351">
                  <c:v>21.5303624719961</c:v>
                </c:pt>
                <c:pt idx="352">
                  <c:v>21.5183867901998</c:v>
                </c:pt>
                <c:pt idx="353">
                  <c:v>21.5073259785036</c:v>
                </c:pt>
                <c:pt idx="354">
                  <c:v>21.4971636184667</c:v>
                </c:pt>
                <c:pt idx="355">
                  <c:v>21.487884503767</c:v>
                </c:pt>
                <c:pt idx="356">
                  <c:v>21.4794746476834</c:v>
                </c:pt>
                <c:pt idx="357">
                  <c:v>21.4719212894092</c:v>
                </c:pt>
                <c:pt idx="358">
                  <c:v>21.465212899341</c:v>
                </c:pt>
                <c:pt idx="359">
                  <c:v>21.4593391834708</c:v>
                </c:pt>
                <c:pt idx="360">
                  <c:v>21.4542910870007</c:v>
                </c:pt>
                <c:pt idx="361">
                  <c:v>21.4500607972885</c:v>
                </c:pt>
                <c:pt idx="362">
                  <c:v>21.4466417462164</c:v>
                </c:pt>
                <c:pt idx="363">
                  <c:v>21.4440286120653</c:v>
                </c:pt>
                <c:pt idx="364">
                  <c:v>21.4422173209634</c:v>
                </c:pt>
                <c:pt idx="365">
                  <c:v>21.4412050479661</c:v>
                </c:pt>
                <c:pt idx="366">
                  <c:v>21.4409902178088</c:v>
                </c:pt>
                <c:pt idx="367">
                  <c:v>21.4415725053635</c:v>
                </c:pt>
                <c:pt idx="368">
                  <c:v>21.4429528358176</c:v>
                </c:pt>
                <c:pt idx="369">
                  <c:v>21.4451333845763</c:v>
                </c:pt>
                <c:pt idx="370">
                  <c:v>21.4481175768822</c:v>
                </c:pt>
                <c:pt idx="371">
                  <c:v>21.451910087128</c:v>
                </c:pt>
                <c:pt idx="372">
                  <c:v>21.4565168378293</c:v>
                </c:pt>
                <c:pt idx="373">
                  <c:v>21.4619449982079</c:v>
                </c:pt>
                <c:pt idx="374">
                  <c:v>21.4682029823245</c:v>
                </c:pt>
                <c:pt idx="375">
                  <c:v>21.4753004466892</c:v>
                </c:pt>
                <c:pt idx="376">
                  <c:v>21.483248287261</c:v>
                </c:pt>
                <c:pt idx="377">
                  <c:v>21.4920586357386</c:v>
                </c:pt>
                <c:pt idx="378">
                  <c:v>21.5017448550317</c:v>
                </c:pt>
                <c:pt idx="379">
                  <c:v>21.5123215337885</c:v>
                </c:pt>
                <c:pt idx="380">
                  <c:v>21.5238044798462</c:v>
                </c:pt>
                <c:pt idx="381">
                  <c:v>21.5362107124568</c:v>
                </c:pt>
                <c:pt idx="382">
                  <c:v>21.5495584531333</c:v>
                </c:pt>
                <c:pt idx="383">
                  <c:v>21.5638671149481</c:v>
                </c:pt>
                <c:pt idx="384">
                  <c:v>21.5791572901083</c:v>
                </c:pt>
                <c:pt idx="385">
                  <c:v>21.5954507356235</c:v>
                </c:pt>
                <c:pt idx="386">
                  <c:v>21.6127703568734</c:v>
                </c:pt>
                <c:pt idx="387">
                  <c:v>21.6311401888772</c:v>
                </c:pt>
                <c:pt idx="388">
                  <c:v>21.6505853750624</c:v>
                </c:pt>
                <c:pt idx="389">
                  <c:v>21.6711321433247</c:v>
                </c:pt>
                <c:pt idx="390">
                  <c:v>21.6928077791715</c:v>
                </c:pt>
                <c:pt idx="391">
                  <c:v>21.7156405957414</c:v>
                </c:pt>
                <c:pt idx="392">
                  <c:v>21.7396599004914</c:v>
                </c:pt>
                <c:pt idx="393">
                  <c:v>21.7648959583526</c:v>
                </c:pt>
                <c:pt idx="394">
                  <c:v>21.7913799511588</c:v>
                </c:pt>
                <c:pt idx="395">
                  <c:v>21.8191439331632</c:v>
                </c:pt>
                <c:pt idx="396">
                  <c:v>21.8482207824715</c:v>
                </c:pt>
                <c:pt idx="397">
                  <c:v>21.8786441482345</c:v>
                </c:pt>
                <c:pt idx="398">
                  <c:v>21.9104483934638</c:v>
                </c:pt>
                <c:pt idx="399">
                  <c:v>21.9436685333538</c:v>
                </c:pt>
                <c:pt idx="400">
                  <c:v>21.9783401690216</c:v>
                </c:pt>
                <c:pt idx="401">
                  <c:v>22.0144994166048</c:v>
                </c:pt>
                <c:pt idx="402">
                  <c:v>22.0521828316876</c:v>
                </c:pt>
                <c:pt idx="403">
                  <c:v>22.0914273290658</c:v>
                </c:pt>
                <c:pt idx="404">
                  <c:v>22.1322700978965</c:v>
                </c:pt>
                <c:pt idx="405">
                  <c:v>22.1747485123239</c:v>
                </c:pt>
                <c:pt idx="406">
                  <c:v>22.2189000377164</c:v>
                </c:pt>
                <c:pt idx="407">
                  <c:v>22.2647621326978</c:v>
                </c:pt>
                <c:pt idx="408">
                  <c:v>22.3123721472078</c:v>
                </c:pt>
                <c:pt idx="409">
                  <c:v>22.3617672168747</c:v>
                </c:pt>
                <c:pt idx="410">
                  <c:v>22.4129841540401</c:v>
                </c:pt>
                <c:pt idx="411">
                  <c:v>22.4660593358266</c:v>
                </c:pt>
                <c:pt idx="412">
                  <c:v>22.5210285896909</c:v>
                </c:pt>
                <c:pt idx="413">
                  <c:v>22.5779270769603</c:v>
                </c:pt>
                <c:pt idx="414">
                  <c:v>22.6367891748973</c:v>
                </c:pt>
                <c:pt idx="415">
                  <c:v>22.6976483578848</c:v>
                </c:pt>
                <c:pt idx="416">
                  <c:v>22.7605370783688</c:v>
                </c:pt>
                <c:pt idx="417">
                  <c:v>22.8254866482334</c:v>
                </c:pt>
                <c:pt idx="418">
                  <c:v>22.892527121317</c:v>
                </c:pt>
                <c:pt idx="419">
                  <c:v>22.9616871778038</c:v>
                </c:pt>
                <c:pt idx="420">
                  <c:v>23.0329940112465</c:v>
                </c:pt>
                <c:pt idx="421">
                  <c:v>23.1064732189877</c:v>
                </c:pt>
                <c:pt idx="422">
                  <c:v>23.182148696749</c:v>
                </c:pt>
                <c:pt idx="423">
                  <c:v>23.2600425381527</c:v>
                </c:pt>
                <c:pt idx="424">
                  <c:v>23.3401749399276</c:v>
                </c:pt>
                <c:pt idx="425">
                  <c:v>23.4225641135211</c:v>
                </c:pt>
                <c:pt idx="426">
                  <c:v>23.5072262038094</c:v>
                </c:pt>
                <c:pt idx="427">
                  <c:v>23.5941752155557</c:v>
                </c:pt>
                <c:pt idx="428">
                  <c:v>23.6834229482057</c:v>
                </c:pt>
                <c:pt idx="429">
                  <c:v>23.7749789395586</c:v>
                </c:pt>
                <c:pt idx="430">
                  <c:v>23.8688504187749</c:v>
                </c:pt>
                <c:pt idx="431">
                  <c:v>23.9650422691104</c:v>
                </c:pt>
                <c:pt idx="432">
                  <c:v>24.0635570006825</c:v>
                </c:pt>
                <c:pt idx="433">
                  <c:v>24.1643947334879</c:v>
                </c:pt>
                <c:pt idx="434">
                  <c:v>24.2675531908029</c:v>
                </c:pt>
                <c:pt idx="435">
                  <c:v>24.3730277030023</c:v>
                </c:pt>
                <c:pt idx="436">
                  <c:v>24.4808112217425</c:v>
                </c:pt>
                <c:pt idx="437">
                  <c:v>24.5908943443621</c:v>
                </c:pt>
                <c:pt idx="438">
                  <c:v>24.703265348263</c:v>
                </c:pt>
                <c:pt idx="439">
                  <c:v>24.8179102349487</c:v>
                </c:pt>
                <c:pt idx="440">
                  <c:v>24.9348127833158</c:v>
                </c:pt>
                <c:pt idx="441">
                  <c:v>25.0539546117198</c:v>
                </c:pt>
                <c:pt idx="442">
                  <c:v>25.1753152482656</c:v>
                </c:pt>
                <c:pt idx="443">
                  <c:v>25.2988722087176</c:v>
                </c:pt>
                <c:pt idx="444">
                  <c:v>25.4246010813637</c:v>
                </c:pt>
                <c:pt idx="445">
                  <c:v>25.5524756181379</c:v>
                </c:pt>
                <c:pt idx="446">
                  <c:v>25.6824678312583</c:v>
                </c:pt>
                <c:pt idx="447">
                  <c:v>25.8145480946266</c:v>
                </c:pt>
                <c:pt idx="448">
                  <c:v>25.9486852492108</c:v>
                </c:pt>
                <c:pt idx="449">
                  <c:v>26.0848467116366</c:v>
                </c:pt>
                <c:pt idx="450">
                  <c:v>26.2229985852098</c:v>
                </c:pt>
                <c:pt idx="451">
                  <c:v>26.3631057726114</c:v>
                </c:pt>
                <c:pt idx="452">
                  <c:v>26.5051320895207</c:v>
                </c:pt>
                <c:pt idx="453">
                  <c:v>26.649040378457</c:v>
                </c:pt>
                <c:pt idx="454">
                  <c:v>26.7947926221563</c:v>
                </c:pt>
                <c:pt idx="455">
                  <c:v>26.9423500558451</c:v>
                </c:pt>
                <c:pt idx="456">
                  <c:v>27.091673277814</c:v>
                </c:pt>
                <c:pt idx="457">
                  <c:v>27.2427223577415</c:v>
                </c:pt>
                <c:pt idx="458">
                  <c:v>27.3954569422683</c:v>
                </c:pt>
                <c:pt idx="459">
                  <c:v>27.549836357376</c:v>
                </c:pt>
                <c:pt idx="460">
                  <c:v>27.7058197071752</c:v>
                </c:pt>
                <c:pt idx="461">
                  <c:v>27.8633659687605</c:v>
                </c:pt>
                <c:pt idx="462">
                  <c:v>28.022434082845</c:v>
                </c:pt>
                <c:pt idx="463">
                  <c:v>28.1829830399373</c:v>
                </c:pt>
                <c:pt idx="464">
                  <c:v>28.3449719618717</c:v>
                </c:pt>
                <c:pt idx="465">
                  <c:v>28.508360178554</c:v>
                </c:pt>
                <c:pt idx="466">
                  <c:v>28.6731072998271</c:v>
                </c:pt>
                <c:pt idx="467">
                  <c:v>28.8391732824038</c:v>
                </c:pt>
                <c:pt idx="468">
                  <c:v>29.0065184918551</c:v>
                </c:pt>
                <c:pt idx="469">
                  <c:v>29.1751037596737</c:v>
                </c:pt>
                <c:pt idx="470">
                  <c:v>29.3448904354717</c:v>
                </c:pt>
                <c:pt idx="471">
                  <c:v>29.5158404343916</c:v>
                </c:pt>
                <c:pt idx="472">
                  <c:v>29.6879162798458</c:v>
                </c:pt>
                <c:pt idx="473">
                  <c:v>29.8610811417109</c:v>
                </c:pt>
                <c:pt idx="474">
                  <c:v>30.0352988701319</c:v>
                </c:pt>
                <c:pt idx="475">
                  <c:v>30.210534025101</c:v>
                </c:pt>
                <c:pt idx="476">
                  <c:v>30.3867519019901</c:v>
                </c:pt>
                <c:pt idx="477">
                  <c:v>30.5639185532293</c:v>
                </c:pt>
                <c:pt idx="478">
                  <c:v>30.7420008063247</c:v>
                </c:pt>
                <c:pt idx="479">
                  <c:v>30.920966278421</c:v>
                </c:pt>
                <c:pt idx="480">
                  <c:v>31.1007833876142</c:v>
                </c:pt>
                <c:pt idx="481">
                  <c:v>31.2814213612173</c:v>
                </c:pt>
                <c:pt idx="482">
                  <c:v>31.4628502411899</c:v>
                </c:pt>
                <c:pt idx="483">
                  <c:v>31.6450408869306</c:v>
                </c:pt>
                <c:pt idx="484">
                  <c:v>31.8279649756347</c:v>
                </c:pt>
                <c:pt idx="485">
                  <c:v>32.0115950004117</c:v>
                </c:pt>
                <c:pt idx="486">
                  <c:v>32.1959042663518</c:v>
                </c:pt>
                <c:pt idx="487">
                  <c:v>32.3808668847249</c:v>
                </c:pt>
                <c:pt idx="488">
                  <c:v>32.5664577654882</c:v>
                </c:pt>
                <c:pt idx="489">
                  <c:v>32.7526526082703</c:v>
                </c:pt>
                <c:pt idx="490">
                  <c:v>32.939427891992</c:v>
                </c:pt>
                <c:pt idx="491">
                  <c:v>33.1267608632781</c:v>
                </c:pt>
                <c:pt idx="492">
                  <c:v>33.3146295238005</c:v>
                </c:pt>
                <c:pt idx="493">
                  <c:v>33.5030126166913</c:v>
                </c:pt>
                <c:pt idx="494">
                  <c:v>33.691889612151</c:v>
                </c:pt>
                <c:pt idx="495">
                  <c:v>33.8812406923709</c:v>
                </c:pt>
                <c:pt idx="496">
                  <c:v>34.0710467358809</c:v>
                </c:pt>
                <c:pt idx="497">
                  <c:v>34.2612893014242</c:v>
                </c:pt>
                <c:pt idx="498">
                  <c:v>34.4519506114539</c:v>
                </c:pt>
                <c:pt idx="499">
                  <c:v>34.6430135353393</c:v>
                </c:pt>
                <c:pt idx="500">
                  <c:v>34.8344615723625</c:v>
                </c:pt>
                <c:pt idx="501">
                  <c:v>35.0262788345751</c:v>
                </c:pt>
                <c:pt idx="502">
                  <c:v>35.2184500295881</c:v>
                </c:pt>
                <c:pt idx="503">
                  <c:v>35.410960443348</c:v>
                </c:pt>
                <c:pt idx="504">
                  <c:v>35.6037959229595</c:v>
                </c:pt>
                <c:pt idx="505">
                  <c:v>35.7969428596017</c:v>
                </c:pt>
                <c:pt idx="506">
                  <c:v>35.9903881715804</c:v>
                </c:pt>
                <c:pt idx="507">
                  <c:v>36.1841192875576</c:v>
                </c:pt>
                <c:pt idx="508">
                  <c:v>36.3781241299921</c:v>
                </c:pt>
                <c:pt idx="509">
                  <c:v>36.5723910988209</c:v>
                </c:pt>
                <c:pt idx="510">
                  <c:v>36.7669090554077</c:v>
                </c:pt>
                <c:pt idx="511">
                  <c:v>36.961667306782</c:v>
                </c:pt>
                <c:pt idx="512">
                  <c:v>37.1566555901878</c:v>
                </c:pt>
                <c:pt idx="513">
                  <c:v>37.3518640579578</c:v>
                </c:pt>
                <c:pt idx="514">
                  <c:v>37.5472832627273</c:v>
                </c:pt>
                <c:pt idx="515">
                  <c:v>37.7429041429982</c:v>
                </c:pt>
                <c:pt idx="516">
                  <c:v>37.938718009062</c:v>
                </c:pt>
                <c:pt idx="517">
                  <c:v>38.134716529288</c:v>
                </c:pt>
                <c:pt idx="518">
                  <c:v>38.330891716782</c:v>
                </c:pt>
                <c:pt idx="519">
                  <c:v>38.5272359164165</c:v>
                </c:pt>
                <c:pt idx="520">
                  <c:v>38.7237417922364</c:v>
                </c:pt>
                <c:pt idx="521">
                  <c:v>38.9204023152377</c:v>
                </c:pt>
                <c:pt idx="522">
                  <c:v>39.117210751518</c:v>
                </c:pt>
                <c:pt idx="523">
                  <c:v>39.3141606507982</c:v>
                </c:pt>
                <c:pt idx="524">
                  <c:v>39.5112458353101</c:v>
                </c:pt>
                <c:pt idx="525">
                  <c:v>39.708460389046</c:v>
                </c:pt>
                <c:pt idx="526">
                  <c:v>39.9057986473652</c:v>
                </c:pt>
                <c:pt idx="527">
                  <c:v>40.1032551869521</c:v>
                </c:pt>
                <c:pt idx="528">
                  <c:v>40.3008248161199</c:v>
                </c:pt>
                <c:pt idx="529">
                  <c:v>40.4985025654512</c:v>
                </c:pt>
                <c:pt idx="530">
                  <c:v>40.696283678771</c:v>
                </c:pt>
                <c:pt idx="531">
                  <c:v>40.8941636044431</c:v>
                </c:pt>
                <c:pt idx="532">
                  <c:v>41.0921379869821</c:v>
                </c:pt>
                <c:pt idx="533">
                  <c:v>41.2902026589735</c:v>
                </c:pt>
                <c:pt idx="534">
                  <c:v>41.4883536332952</c:v>
                </c:pt>
                <c:pt idx="535">
                  <c:v>41.6865870956283</c:v>
                </c:pt>
                <c:pt idx="536">
                  <c:v>41.8848993972533</c:v>
                </c:pt>
                <c:pt idx="537">
                  <c:v>42.0832870481215</c:v>
                </c:pt>
                <c:pt idx="538">
                  <c:v>42.2817467101927</c:v>
                </c:pt>
                <c:pt idx="539">
                  <c:v>42.4802751910318</c:v>
                </c:pt>
                <c:pt idx="540">
                  <c:v>42.6788694376568</c:v>
                </c:pt>
                <c:pt idx="541">
                  <c:v>42.8775265306279</c:v>
                </c:pt>
              </c:numCache>
            </c:numRef>
          </c:yVal>
          <c:smooth val="1"/>
        </c:ser>
        <c:dLbls>
          <c:showLegendKey val="0"/>
          <c:showVal val="0"/>
          <c:showCatName val="0"/>
          <c:showSerName val="0"/>
          <c:showPercent val="0"/>
          <c:showBubbleSize val="0"/>
        </c:dLbls>
        <c:axId val="178856704"/>
        <c:axId val="178858624"/>
      </c:scatterChart>
      <c:scatterChart>
        <c:scatterStyle val="smooth"/>
        <c:varyColors val="0"/>
        <c:ser>
          <c:idx val="1"/>
          <c:order val="1"/>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Loop_Modeling!$AR$19:$AR$560</c:f>
              <c:numCache>
                <c:formatCode>General</c:formatCode>
                <c:ptCount val="542"/>
                <c:pt idx="0">
                  <c:v>-1.15913367827645</c:v>
                </c:pt>
                <c:pt idx="1">
                  <c:v>-1.18612460727351</c:v>
                </c:pt>
                <c:pt idx="2">
                  <c:v>-1.21374360930437</c:v>
                </c:pt>
                <c:pt idx="3">
                  <c:v>-1.24200526929465</c:v>
                </c:pt>
                <c:pt idx="4">
                  <c:v>-1.27092450869787</c:v>
                </c:pt>
                <c:pt idx="5">
                  <c:v>-1.30051659310596</c:v>
                </c:pt>
                <c:pt idx="6">
                  <c:v>-1.33079714002058</c:v>
                </c:pt>
                <c:pt idx="7">
                  <c:v>-1.36178212678816</c:v>
                </c:pt>
                <c:pt idx="8">
                  <c:v>-1.3934878987011</c:v>
                </c:pt>
                <c:pt idx="9">
                  <c:v>-1.42593117726755</c:v>
                </c:pt>
                <c:pt idx="10">
                  <c:v>-1.45912906865252</c:v>
                </c:pt>
                <c:pt idx="11">
                  <c:v>-1.4930990722927</c:v>
                </c:pt>
                <c:pt idx="12">
                  <c:v>-1.52785908968713</c:v>
                </c:pt>
                <c:pt idx="13">
                  <c:v>-1.56342743336664</c:v>
                </c:pt>
                <c:pt idx="14">
                  <c:v>-1.59982283604379</c:v>
                </c:pt>
                <c:pt idx="15">
                  <c:v>-1.63706445994592</c:v>
                </c:pt>
                <c:pt idx="16">
                  <c:v>-1.67517190633309</c:v>
                </c:pt>
                <c:pt idx="17">
                  <c:v>-1.7141652252033</c:v>
                </c:pt>
                <c:pt idx="18">
                  <c:v>-1.75406492518659</c:v>
                </c:pt>
                <c:pt idx="19">
                  <c:v>-1.79489198362999</c:v>
                </c:pt>
                <c:pt idx="20">
                  <c:v>-1.83666785687475</c:v>
                </c:pt>
                <c:pt idx="21">
                  <c:v>-1.8794144907276</c:v>
                </c:pt>
                <c:pt idx="22">
                  <c:v>-1.92315433112708</c:v>
                </c:pt>
                <c:pt idx="23">
                  <c:v>-1.96791033500632</c:v>
                </c:pt>
                <c:pt idx="24">
                  <c:v>-2.01370598135266</c:v>
                </c:pt>
                <c:pt idx="25">
                  <c:v>-2.06056528246553</c:v>
                </c:pt>
                <c:pt idx="26">
                  <c:v>-2.10851279541216</c:v>
                </c:pt>
                <c:pt idx="27">
                  <c:v>-2.15757363368184</c:v>
                </c:pt>
                <c:pt idx="28">
                  <c:v>-2.20777347903808</c:v>
                </c:pt>
                <c:pt idx="29">
                  <c:v>-2.25913859356865</c:v>
                </c:pt>
                <c:pt idx="30">
                  <c:v>-2.31169583193187</c:v>
                </c:pt>
                <c:pt idx="31">
                  <c:v>-2.36547265379848</c:v>
                </c:pt>
                <c:pt idx="32">
                  <c:v>-2.42049713648688</c:v>
                </c:pt>
                <c:pt idx="33">
                  <c:v>-2.47679798778979</c:v>
                </c:pt>
                <c:pt idx="34">
                  <c:v>-2.53440455898938</c:v>
                </c:pt>
                <c:pt idx="35">
                  <c:v>-2.59334685805747</c:v>
                </c:pt>
                <c:pt idx="36">
                  <c:v>-2.65365556303727</c:v>
                </c:pt>
                <c:pt idx="37">
                  <c:v>-2.71536203560136</c:v>
                </c:pt>
                <c:pt idx="38">
                  <c:v>-2.7784983347814</c:v>
                </c:pt>
                <c:pt idx="39">
                  <c:v>-2.84309723086283</c:v>
                </c:pt>
                <c:pt idx="40">
                  <c:v>-2.90919221943793</c:v>
                </c:pt>
                <c:pt idx="41">
                  <c:v>-2.97681753560951</c:v>
                </c:pt>
                <c:pt idx="42">
                  <c:v>-3.04600816833623</c:v>
                </c:pt>
                <c:pt idx="43">
                  <c:v>-3.11679987490982</c:v>
                </c:pt>
                <c:pt idx="44">
                  <c:v>-3.18922919555323</c:v>
                </c:pt>
                <c:pt idx="45">
                  <c:v>-3.26333346812797</c:v>
                </c:pt>
                <c:pt idx="46">
                  <c:v>-3.33915084293616</c:v>
                </c:pt>
                <c:pt idx="47">
                  <c:v>-3.41672029760383</c:v>
                </c:pt>
                <c:pt idx="48">
                  <c:v>-3.4960816520282</c:v>
                </c:pt>
                <c:pt idx="49">
                  <c:v>-3.57727558337122</c:v>
                </c:pt>
                <c:pt idx="50">
                  <c:v>-3.66034364108009</c:v>
                </c:pt>
                <c:pt idx="51">
                  <c:v>-3.74532826191295</c:v>
                </c:pt>
                <c:pt idx="52">
                  <c:v>-3.8322727849466</c:v>
                </c:pt>
                <c:pt idx="53">
                  <c:v>-3.92122146654045</c:v>
                </c:pt>
                <c:pt idx="54">
                  <c:v>-4.01221949522942</c:v>
                </c:pt>
                <c:pt idx="55">
                  <c:v>-4.10531300651518</c:v>
                </c:pt>
                <c:pt idx="56">
                  <c:v>-4.20054909752343</c:v>
                </c:pt>
                <c:pt idx="57">
                  <c:v>-4.29797584149172</c:v>
                </c:pt>
                <c:pt idx="58">
                  <c:v>-4.39764230204933</c:v>
                </c:pt>
                <c:pt idx="59">
                  <c:v>-4.49959854724808</c:v>
                </c:pt>
                <c:pt idx="60">
                  <c:v>-4.60389566329954</c:v>
                </c:pt>
                <c:pt idx="61">
                  <c:v>-4.7105857679699</c:v>
                </c:pt>
                <c:pt idx="62">
                  <c:v>-4.81972202358131</c:v>
                </c:pt>
                <c:pt idx="63">
                  <c:v>-4.93135864956345</c:v>
                </c:pt>
                <c:pt idx="64">
                  <c:v>-5.04555093449558</c:v>
                </c:pt>
                <c:pt idx="65">
                  <c:v>-5.16235524757428</c:v>
                </c:pt>
                <c:pt idx="66">
                  <c:v>-5.28182904943845</c:v>
                </c:pt>
                <c:pt idx="67">
                  <c:v>-5.40403090227664</c:v>
                </c:pt>
                <c:pt idx="68">
                  <c:v>-5.52902047913806</c:v>
                </c:pt>
                <c:pt idx="69">
                  <c:v>-5.6568585723619</c:v>
                </c:pt>
                <c:pt idx="70">
                  <c:v>-5.7876071010346</c:v>
                </c:pt>
                <c:pt idx="71">
                  <c:v>-5.92132911737813</c:v>
                </c:pt>
                <c:pt idx="72">
                  <c:v>-6.05808881196504</c:v>
                </c:pt>
                <c:pt idx="73">
                  <c:v>-6.1979515176521</c:v>
                </c:pt>
                <c:pt idx="74">
                  <c:v>-6.34098371211235</c:v>
                </c:pt>
                <c:pt idx="75">
                  <c:v>-6.48725301884347</c:v>
                </c:pt>
                <c:pt idx="76">
                  <c:v>-6.63682820651758</c:v>
                </c:pt>
                <c:pt idx="77">
                  <c:v>-6.78977918653289</c:v>
                </c:pt>
                <c:pt idx="78">
                  <c:v>-6.94617700861746</c:v>
                </c:pt>
                <c:pt idx="79">
                  <c:v>-7.10609385432551</c:v>
                </c:pt>
                <c:pt idx="80">
                  <c:v>-7.26960302826061</c:v>
                </c:pt>
                <c:pt idx="81">
                  <c:v>-7.43677894684696</c:v>
                </c:pt>
                <c:pt idx="82">
                  <c:v>-7.60769712446192</c:v>
                </c:pt>
                <c:pt idx="83">
                  <c:v>-7.78243415673244</c:v>
                </c:pt>
                <c:pt idx="84">
                  <c:v>-7.96106770078808</c:v>
                </c:pt>
                <c:pt idx="85">
                  <c:v>-8.14367645224989</c:v>
                </c:pt>
                <c:pt idx="86">
                  <c:v>-8.33034011872815</c:v>
                </c:pt>
                <c:pt idx="87">
                  <c:v>-8.52113938958489</c:v>
                </c:pt>
                <c:pt idx="88">
                  <c:v>-8.71615590171118</c:v>
                </c:pt>
                <c:pt idx="89">
                  <c:v>-8.91547220105359</c:v>
                </c:pt>
                <c:pt idx="90">
                  <c:v>-9.11917169961561</c:v>
                </c:pt>
                <c:pt idx="91">
                  <c:v>-9.32733862764531</c:v>
                </c:pt>
                <c:pt idx="92">
                  <c:v>-9.54005798071326</c:v>
                </c:pt>
                <c:pt idx="93">
                  <c:v>-9.75741546136846</c:v>
                </c:pt>
                <c:pt idx="94">
                  <c:v>-9.97949741505465</c:v>
                </c:pt>
                <c:pt idx="95">
                  <c:v>-10.206390759954</c:v>
                </c:pt>
                <c:pt idx="96">
                  <c:v>-10.4381829104192</c:v>
                </c:pt>
                <c:pt idx="97">
                  <c:v>-10.6749616936437</c:v>
                </c:pt>
                <c:pt idx="98">
                  <c:v>-10.9168152592125</c:v>
                </c:pt>
                <c:pt idx="99">
                  <c:v>-11.1638319811694</c:v>
                </c:pt>
                <c:pt idx="100">
                  <c:v>-11.4161003522294</c:v>
                </c:pt>
                <c:pt idx="101">
                  <c:v>-11.6737088697626</c:v>
                </c:pt>
                <c:pt idx="102">
                  <c:v>-11.9367459131726</c:v>
                </c:pt>
                <c:pt idx="103">
                  <c:v>-12.2052996122915</c:v>
                </c:pt>
                <c:pt idx="104">
                  <c:v>-12.4794577064183</c:v>
                </c:pt>
                <c:pt idx="105">
                  <c:v>-12.7593073936292</c:v>
                </c:pt>
                <c:pt idx="106">
                  <c:v>-13.0449351699966</c:v>
                </c:pt>
                <c:pt idx="107">
                  <c:v>-13.3364266583681</c:v>
                </c:pt>
                <c:pt idx="108">
                  <c:v>-13.6338664263677</c:v>
                </c:pt>
                <c:pt idx="109">
                  <c:v>-13.9373377933015</c:v>
                </c:pt>
                <c:pt idx="110">
                  <c:v>-14.2469226256762</c:v>
                </c:pt>
                <c:pt idx="111">
                  <c:v>-14.5627011210647</c:v>
                </c:pt>
                <c:pt idx="112">
                  <c:v>-14.8847515800869</c:v>
                </c:pt>
                <c:pt idx="113">
                  <c:v>-15.2131501663176</c:v>
                </c:pt>
                <c:pt idx="114">
                  <c:v>-15.5479706539738</c:v>
                </c:pt>
                <c:pt idx="115">
                  <c:v>-15.8892841632935</c:v>
                </c:pt>
                <c:pt idx="116">
                  <c:v>-16.2371588835688</c:v>
                </c:pt>
                <c:pt idx="117">
                  <c:v>-16.5916597838753</c:v>
                </c:pt>
                <c:pt idx="118">
                  <c:v>-16.952848311605</c:v>
                </c:pt>
                <c:pt idx="119">
                  <c:v>-17.3207820789985</c:v>
                </c:pt>
                <c:pt idx="120">
                  <c:v>-17.6955145379624</c:v>
                </c:pt>
                <c:pt idx="121">
                  <c:v>-18.0770946435627</c:v>
                </c:pt>
                <c:pt idx="122">
                  <c:v>-18.4655665066834</c:v>
                </c:pt>
                <c:pt idx="123">
                  <c:v>-18.8609690364717</c:v>
                </c:pt>
                <c:pt idx="124">
                  <c:v>-19.2633355733041</c:v>
                </c:pt>
                <c:pt idx="125">
                  <c:v>-19.6726935131518</c:v>
                </c:pt>
                <c:pt idx="126">
                  <c:v>-20.0890639243576</c:v>
                </c:pt>
                <c:pt idx="127">
                  <c:v>-20.5124611579939</c:v>
                </c:pt>
                <c:pt idx="128">
                  <c:v>-20.9428924531204</c:v>
                </c:pt>
                <c:pt idx="129">
                  <c:v>-21.3803575384225</c:v>
                </c:pt>
                <c:pt idx="130">
                  <c:v>-21.824848231878</c:v>
                </c:pt>
                <c:pt idx="131">
                  <c:v>-22.2763480402656</c:v>
                </c:pt>
                <c:pt idx="132">
                  <c:v>-22.7348317604943</c:v>
                </c:pt>
                <c:pt idx="133">
                  <c:v>-23.2002650849074</c:v>
                </c:pt>
                <c:pt idx="134">
                  <c:v>-23.6726042128667</c:v>
                </c:pt>
                <c:pt idx="135">
                  <c:v>-24.1517954710932</c:v>
                </c:pt>
                <c:pt idx="136">
                  <c:v>-24.6377749453796</c:v>
                </c:pt>
                <c:pt idx="137">
                  <c:v>-25.1304681264342</c:v>
                </c:pt>
                <c:pt idx="138">
                  <c:v>-25.6297895727388</c:v>
                </c:pt>
                <c:pt idx="139">
                  <c:v>-26.1356425934067</c:v>
                </c:pt>
                <c:pt idx="140">
                  <c:v>-26.6479189541135</c:v>
                </c:pt>
                <c:pt idx="141">
                  <c:v>-27.1664986092384</c:v>
                </c:pt>
                <c:pt idx="142">
                  <c:v>-27.6912494633812</c:v>
                </c:pt>
                <c:pt idx="143">
                  <c:v>-28.2220271654274</c:v>
                </c:pt>
                <c:pt idx="144">
                  <c:v>-28.7586749383019</c:v>
                </c:pt>
                <c:pt idx="145">
                  <c:v>-29.3010234474856</c:v>
                </c:pt>
                <c:pt idx="146">
                  <c:v>-29.8488907112593</c:v>
                </c:pt>
                <c:pt idx="147">
                  <c:v>-30.4020820554996</c:v>
                </c:pt>
                <c:pt idx="148">
                  <c:v>-30.9603901156519</c:v>
                </c:pt>
                <c:pt idx="149">
                  <c:v>-31.5235948882819</c:v>
                </c:pt>
                <c:pt idx="150">
                  <c:v>-32.0914638343277</c:v>
                </c:pt>
                <c:pt idx="151">
                  <c:v>-32.6637520358496</c:v>
                </c:pt>
                <c:pt idx="152">
                  <c:v>-33.2402024077287</c:v>
                </c:pt>
                <c:pt idx="153">
                  <c:v>-33.8205459653492</c:v>
                </c:pt>
                <c:pt idx="154">
                  <c:v>-34.404502148882</c:v>
                </c:pt>
                <c:pt idx="155">
                  <c:v>-34.9917792043018</c:v>
                </c:pt>
                <c:pt idx="156">
                  <c:v>-35.5820746208016</c:v>
                </c:pt>
                <c:pt idx="157">
                  <c:v>-36.17507562373</c:v>
                </c:pt>
                <c:pt idx="158">
                  <c:v>-36.7704597216727</c:v>
                </c:pt>
                <c:pt idx="159">
                  <c:v>-37.3678953057482</c:v>
                </c:pt>
                <c:pt idx="160">
                  <c:v>-37.9670422986735</c:v>
                </c:pt>
                <c:pt idx="161">
                  <c:v>-38.5675528506166</c:v>
                </c:pt>
                <c:pt idx="162">
                  <c:v>-39.1690720783618</c:v>
                </c:pt>
                <c:pt idx="163">
                  <c:v>-39.7712388438288</c:v>
                </c:pt>
                <c:pt idx="164">
                  <c:v>-40.3736865675489</c:v>
                </c:pt>
                <c:pt idx="165">
                  <c:v>-40.9760440722933</c:v>
                </c:pt>
                <c:pt idx="166">
                  <c:v>-41.5779364517044</c:v>
                </c:pt>
                <c:pt idx="167">
                  <c:v>-42.1789859584912</c:v>
                </c:pt>
                <c:pt idx="168">
                  <c:v>-42.7788129064951</c:v>
                </c:pt>
                <c:pt idx="169">
                  <c:v>-43.3770365807954</c:v>
                </c:pt>
                <c:pt idx="170">
                  <c:v>-43.9732761499042</c:v>
                </c:pt>
                <c:pt idx="171">
                  <c:v>-44.5671515740809</c:v>
                </c:pt>
                <c:pt idx="172">
                  <c:v>-45.1582845038441</c:v>
                </c:pt>
                <c:pt idx="173">
                  <c:v>-45.7462991628723</c:v>
                </c:pt>
                <c:pt idx="174">
                  <c:v>-46.3308232096708</c:v>
                </c:pt>
                <c:pt idx="175">
                  <c:v>-46.9114885726279</c:v>
                </c:pt>
                <c:pt idx="176">
                  <c:v>-47.4879322534068</c:v>
                </c:pt>
                <c:pt idx="177">
                  <c:v>-48.0597970939638</c:v>
                </c:pt>
                <c:pt idx="178">
                  <c:v>-48.6267325029198</c:v>
                </c:pt>
                <c:pt idx="179">
                  <c:v>-49.1883951374452</c:v>
                </c:pt>
                <c:pt idx="180">
                  <c:v>-49.7444495373248</c:v>
                </c:pt>
                <c:pt idx="181">
                  <c:v>-50.2945687083609</c:v>
                </c:pt>
                <c:pt idx="182">
                  <c:v>-50.8384346528155</c:v>
                </c:pt>
                <c:pt idx="183">
                  <c:v>-51.3757388451173</c:v>
                </c:pt>
                <c:pt idx="184">
                  <c:v>-51.9061826516002</c:v>
                </c:pt>
                <c:pt idx="185">
                  <c:v>-52.4294776935607</c:v>
                </c:pt>
                <c:pt idx="186">
                  <c:v>-52.9453461534358</c:v>
                </c:pt>
                <c:pt idx="187">
                  <c:v>-53.4535210243924</c:v>
                </c:pt>
                <c:pt idx="188">
                  <c:v>-53.9537463040737</c:v>
                </c:pt>
                <c:pt idx="189">
                  <c:v>-54.4457771336924</c:v>
                </c:pt>
                <c:pt idx="190">
                  <c:v>-54.9293798840336</c:v>
                </c:pt>
                <c:pt idx="191">
                  <c:v>-55.4043321902992</c:v>
                </c:pt>
                <c:pt idx="192">
                  <c:v>-55.8704229380332</c:v>
                </c:pt>
                <c:pt idx="193">
                  <c:v>-56.3274522026298</c:v>
                </c:pt>
                <c:pt idx="194">
                  <c:v>-56.7752311451657</c:v>
                </c:pt>
                <c:pt idx="195">
                  <c:v>-57.2135818674648</c:v>
                </c:pt>
                <c:pt idx="196">
                  <c:v>-57.6423372294613</c:v>
                </c:pt>
                <c:pt idx="197">
                  <c:v>-58.0613406320126</c:v>
                </c:pt>
                <c:pt idx="198">
                  <c:v>-58.4704457683899</c:v>
                </c:pt>
                <c:pt idx="199">
                  <c:v>-58.8695163476912</c:v>
                </c:pt>
                <c:pt idx="200">
                  <c:v>-59.258425793421</c:v>
                </c:pt>
                <c:pt idx="201">
                  <c:v>-59.6370569204465</c:v>
                </c:pt>
                <c:pt idx="202">
                  <c:v>-60.0053015934725</c:v>
                </c:pt>
                <c:pt idx="203">
                  <c:v>-60.3630603701016</c:v>
                </c:pt>
                <c:pt idx="204">
                  <c:v>-60.7102421314341</c:v>
                </c:pt>
                <c:pt idx="205">
                  <c:v>-61.046763703044</c:v>
                </c:pt>
                <c:pt idx="206">
                  <c:v>-61.3725494690341</c:v>
                </c:pt>
                <c:pt idx="207">
                  <c:v>-61.6875309817287</c:v>
                </c:pt>
                <c:pt idx="208">
                  <c:v>-61.9916465694086</c:v>
                </c:pt>
                <c:pt idx="209">
                  <c:v>-62.2848409443397</c:v>
                </c:pt>
                <c:pt idx="210">
                  <c:v>-62.5670648131834</c:v>
                </c:pt>
                <c:pt idx="211">
                  <c:v>-62.8382744917235</c:v>
                </c:pt>
                <c:pt idx="212">
                  <c:v>-63.0984315256788</c:v>
                </c:pt>
                <c:pt idx="213">
                  <c:v>-63.3475023192258</c:v>
                </c:pt>
                <c:pt idx="214">
                  <c:v>-63.5854577726959</c:v>
                </c:pt>
                <c:pt idx="215">
                  <c:v>-63.812272930778</c:v>
                </c:pt>
                <c:pt idx="216">
                  <c:v>-64.02792664241</c:v>
                </c:pt>
                <c:pt idx="217">
                  <c:v>-64.2324012334245</c:v>
                </c:pt>
                <c:pt idx="218">
                  <c:v>-64.4256821928804</c:v>
                </c:pt>
                <c:pt idx="219">
                  <c:v>-64.6077578739103</c:v>
                </c:pt>
                <c:pt idx="220">
                  <c:v>-64.7786192098009</c:v>
                </c:pt>
                <c:pt idx="221">
                  <c:v>-64.9382594459355</c:v>
                </c:pt>
                <c:pt idx="222">
                  <c:v>-65.086673888131</c:v>
                </c:pt>
                <c:pt idx="223">
                  <c:v>-65.2238596678365</c:v>
                </c:pt>
                <c:pt idx="224">
                  <c:v>-65.3498155245765</c:v>
                </c:pt>
                <c:pt idx="225">
                  <c:v>-65.4645416059715</c:v>
                </c:pt>
                <c:pt idx="226">
                  <c:v>-65.5680392856056</c:v>
                </c:pt>
                <c:pt idx="227">
                  <c:v>-65.6603109989672</c:v>
                </c:pt>
                <c:pt idx="228">
                  <c:v>-65.7413600976462</c:v>
                </c:pt>
                <c:pt idx="229">
                  <c:v>-65.8111907219372</c:v>
                </c:pt>
                <c:pt idx="230">
                  <c:v>-65.8698076919639</c:v>
                </c:pt>
                <c:pt idx="231">
                  <c:v>-65.9172164174207</c:v>
                </c:pt>
                <c:pt idx="232">
                  <c:v>-65.9534228260017</c:v>
                </c:pt>
                <c:pt idx="233">
                  <c:v>-65.9784333105681</c:v>
                </c:pt>
                <c:pt idx="234">
                  <c:v>-65.9922546950976</c:v>
                </c:pt>
                <c:pt idx="235">
                  <c:v>-65.9948942194337</c:v>
                </c:pt>
                <c:pt idx="236">
                  <c:v>-65.9863595428553</c:v>
                </c:pt>
                <c:pt idx="237">
                  <c:v>-65.9666587664623</c:v>
                </c:pt>
                <c:pt idx="238">
                  <c:v>-65.9358004743724</c:v>
                </c:pt>
                <c:pt idx="239">
                  <c:v>-65.8937937937067</c:v>
                </c:pt>
                <c:pt idx="240">
                  <c:v>-65.8406484733295</c:v>
                </c:pt>
                <c:pt idx="241">
                  <c:v>-65.7763749812937</c:v>
                </c:pt>
                <c:pt idx="242">
                  <c:v>-65.7009846209256</c:v>
                </c:pt>
                <c:pt idx="243">
                  <c:v>-65.614489665459</c:v>
                </c:pt>
                <c:pt idx="244">
                  <c:v>-65.5169035111062</c:v>
                </c:pt>
                <c:pt idx="245">
                  <c:v>-65.4082408484216</c:v>
                </c:pt>
                <c:pt idx="246">
                  <c:v>-65.2885178517799</c:v>
                </c:pt>
                <c:pt idx="247">
                  <c:v>-65.1577523867473</c:v>
                </c:pt>
                <c:pt idx="248">
                  <c:v>-65.01596423508</c:v>
                </c:pt>
                <c:pt idx="249">
                  <c:v>-64.8631753370258</c:v>
                </c:pt>
                <c:pt idx="250">
                  <c:v>-64.6994100505467</c:v>
                </c:pt>
                <c:pt idx="251">
                  <c:v>-64.524695427006</c:v>
                </c:pt>
                <c:pt idx="252">
                  <c:v>-64.3390615027883</c:v>
                </c:pt>
                <c:pt idx="253">
                  <c:v>-64.1425416062359</c:v>
                </c:pt>
                <c:pt idx="254">
                  <c:v>-63.9351726791828</c:v>
                </c:pt>
                <c:pt idx="255">
                  <c:v>-63.7169956122724</c:v>
                </c:pt>
                <c:pt idx="256">
                  <c:v>-63.4880555931231</c:v>
                </c:pt>
                <c:pt idx="257">
                  <c:v>-63.2484024662967</c:v>
                </c:pt>
                <c:pt idx="258">
                  <c:v>-62.9980911038787</c:v>
                </c:pt>
                <c:pt idx="259">
                  <c:v>-62.7371817853615</c:v>
                </c:pt>
                <c:pt idx="260">
                  <c:v>-62.4657405853615</c:v>
                </c:pt>
                <c:pt idx="261">
                  <c:v>-62.1838397675629</c:v>
                </c:pt>
                <c:pt idx="262">
                  <c:v>-61.8915581831209</c:v>
                </c:pt>
                <c:pt idx="263">
                  <c:v>-61.5889816715989</c:v>
                </c:pt>
                <c:pt idx="264">
                  <c:v>-61.2762034623629</c:v>
                </c:pt>
                <c:pt idx="265">
                  <c:v>-60.9533245741845</c:v>
                </c:pt>
                <c:pt idx="266">
                  <c:v>-60.6204542106584</c:v>
                </c:pt>
                <c:pt idx="267">
                  <c:v>-60.2777101488845</c:v>
                </c:pt>
                <c:pt idx="268">
                  <c:v>-59.9252191187168</c:v>
                </c:pt>
                <c:pt idx="269">
                  <c:v>-59.5631171697522</c:v>
                </c:pt>
                <c:pt idx="270">
                  <c:v>-59.1915500231063</c:v>
                </c:pt>
                <c:pt idx="271">
                  <c:v>-58.8106734049254</c:v>
                </c:pt>
                <c:pt idx="272">
                  <c:v>-58.4206533584872</c:v>
                </c:pt>
                <c:pt idx="273">
                  <c:v>-58.0216665316922</c:v>
                </c:pt>
                <c:pt idx="274">
                  <c:v>-57.6139004367053</c:v>
                </c:pt>
                <c:pt idx="275">
                  <c:v>-57.1975536785016</c:v>
                </c:pt>
                <c:pt idx="276">
                  <c:v>-56.7728361490991</c:v>
                </c:pt>
                <c:pt idx="277">
                  <c:v>-56.3399691843151</c:v>
                </c:pt>
                <c:pt idx="278">
                  <c:v>-55.8991856799973</c:v>
                </c:pt>
                <c:pt idx="279">
                  <c:v>-55.450730164806</c:v>
                </c:pt>
                <c:pt idx="280">
                  <c:v>-54.9948588268119</c:v>
                </c:pt>
                <c:pt idx="281">
                  <c:v>-54.5318394914016</c:v>
                </c:pt>
                <c:pt idx="282">
                  <c:v>-54.0619515482456</c:v>
                </c:pt>
                <c:pt idx="283">
                  <c:v>-53.5854858253978</c:v>
                </c:pt>
                <c:pt idx="284">
                  <c:v>-53.102744408944</c:v>
                </c:pt>
                <c:pt idx="285">
                  <c:v>-52.6140404070169</c:v>
                </c:pt>
                <c:pt idx="286">
                  <c:v>-52.1196976574097</c:v>
                </c:pt>
                <c:pt idx="287">
                  <c:v>-51.620050378494</c:v>
                </c:pt>
                <c:pt idx="288">
                  <c:v>-51.1154427636304</c:v>
                </c:pt>
                <c:pt idx="289">
                  <c:v>-50.6062285197653</c:v>
                </c:pt>
                <c:pt idx="290">
                  <c:v>-50.0927703514451</c:v>
                </c:pt>
                <c:pt idx="291">
                  <c:v>-49.5754393919974</c:v>
                </c:pt>
                <c:pt idx="292">
                  <c:v>-49.0546145841821</c:v>
                </c:pt>
                <c:pt idx="293">
                  <c:v>-48.5306820131183</c:v>
                </c:pt>
                <c:pt idx="294">
                  <c:v>-48.0040341948322</c:v>
                </c:pt>
                <c:pt idx="295">
                  <c:v>-47.4750693242322</c:v>
                </c:pt>
                <c:pt idx="296">
                  <c:v>-46.944190486791</c:v>
                </c:pt>
                <c:pt idx="297">
                  <c:v>-46.4118048386153</c:v>
                </c:pt>
                <c:pt idx="298">
                  <c:v>-45.8783227599596</c:v>
                </c:pt>
                <c:pt idx="299">
                  <c:v>-45.344156987545</c:v>
                </c:pt>
                <c:pt idx="300">
                  <c:v>-44.8097217312996</c:v>
                </c:pt>
                <c:pt idx="301">
                  <c:v>-44.2754317813195</c:v>
                </c:pt>
                <c:pt idx="302">
                  <c:v>-43.741701610969</c:v>
                </c:pt>
                <c:pt idx="303">
                  <c:v>-43.2089444820876</c:v>
                </c:pt>
                <c:pt idx="304">
                  <c:v>-42.6775715582355</c:v>
                </c:pt>
                <c:pt idx="305">
                  <c:v>-42.1479910318293</c:v>
                </c:pt>
                <c:pt idx="306">
                  <c:v>-41.6206072708365</c:v>
                </c:pt>
                <c:pt idx="307">
                  <c:v>-41.0958199904788</c:v>
                </c:pt>
                <c:pt idx="308">
                  <c:v>-40.5740234550938</c:v>
                </c:pt>
                <c:pt idx="309">
                  <c:v>-40.0556057149442</c:v>
                </c:pt>
                <c:pt idx="310">
                  <c:v>-39.5409478823931</c:v>
                </c:pt>
                <c:pt idx="311">
                  <c:v>-39.0304234513809</c:v>
                </c:pt>
                <c:pt idx="312">
                  <c:v>-38.5243976636931</c:v>
                </c:pt>
                <c:pt idx="313">
                  <c:v>-38.0232269249874</c:v>
                </c:pt>
                <c:pt idx="314">
                  <c:v>-37.5272582730289</c:v>
                </c:pt>
                <c:pt idx="315">
                  <c:v>-37.0368289000508</c:v>
                </c:pt>
                <c:pt idx="316">
                  <c:v>-36.5522657306187</c:v>
                </c:pt>
                <c:pt idx="317">
                  <c:v>-36.0738850558549</c:v>
                </c:pt>
                <c:pt idx="318">
                  <c:v>-35.601992224354</c:v>
                </c:pt>
                <c:pt idx="319">
                  <c:v>-35.1368813896372</c:v>
                </c:pt>
                <c:pt idx="320">
                  <c:v>-34.6788353135125</c:v>
                </c:pt>
                <c:pt idx="321">
                  <c:v>-34.2281252242803</c:v>
                </c:pt>
                <c:pt idx="322">
                  <c:v>-33.7850107283109</c:v>
                </c:pt>
                <c:pt idx="323">
                  <c:v>-33.3497397731646</c:v>
                </c:pt>
                <c:pt idx="324">
                  <c:v>-32.9225486600982</c:v>
                </c:pt>
                <c:pt idx="325">
                  <c:v>-32.5036621035218</c:v>
                </c:pt>
                <c:pt idx="326">
                  <c:v>-32.0932933347307</c:v>
                </c:pt>
                <c:pt idx="327">
                  <c:v>-31.6916442470466</c:v>
                </c:pt>
                <c:pt idx="328">
                  <c:v>-31.2989055793447</c:v>
                </c:pt>
                <c:pt idx="329">
                  <c:v>-30.9152571348359</c:v>
                </c:pt>
                <c:pt idx="330">
                  <c:v>-30.5408680319036</c:v>
                </c:pt>
                <c:pt idx="331">
                  <c:v>-30.1758969837439</c:v>
                </c:pt>
                <c:pt idx="332">
                  <c:v>-29.8204926035769</c:v>
                </c:pt>
                <c:pt idx="333">
                  <c:v>-29.4747937322028</c:v>
                </c:pt>
                <c:pt idx="334">
                  <c:v>-29.1389297847499</c:v>
                </c:pt>
                <c:pt idx="335">
                  <c:v>-28.8130211135224</c:v>
                </c:pt>
                <c:pt idx="336">
                  <c:v>-28.4971793839757</c:v>
                </c:pt>
                <c:pt idx="337">
                  <c:v>-28.1915079609424</c:v>
                </c:pt>
                <c:pt idx="338">
                  <c:v>-27.8961023023808</c:v>
                </c:pt>
                <c:pt idx="339">
                  <c:v>-27.6110503580482</c:v>
                </c:pt>
                <c:pt idx="340">
                  <c:v>-27.3364329706596</c:v>
                </c:pt>
                <c:pt idx="341">
                  <c:v>-27.0723242772373</c:v>
                </c:pt>
                <c:pt idx="342">
                  <c:v>-26.8187921085295</c:v>
                </c:pt>
                <c:pt idx="343">
                  <c:v>-26.5758983845232</c:v>
                </c:pt>
                <c:pt idx="344">
                  <c:v>-26.3436995042411</c:v>
                </c:pt>
                <c:pt idx="345">
                  <c:v>-26.1222467281659</c:v>
                </c:pt>
                <c:pt idx="346">
                  <c:v>-25.9115865517881</c:v>
                </c:pt>
                <c:pt idx="347">
                  <c:v>-25.7117610689154</c:v>
                </c:pt>
                <c:pt idx="348">
                  <c:v>-25.5228083235249</c:v>
                </c:pt>
                <c:pt idx="349">
                  <c:v>-25.3447626490682</c:v>
                </c:pt>
                <c:pt idx="350">
                  <c:v>-25.1776549942634</c:v>
                </c:pt>
                <c:pt idx="351">
                  <c:v>-25.0215132345243</c:v>
                </c:pt>
                <c:pt idx="352">
                  <c:v>-24.8763624682828</c:v>
                </c:pt>
                <c:pt idx="353">
                  <c:v>-24.7422252975591</c:v>
                </c:pt>
                <c:pt idx="354">
                  <c:v>-24.6191220922219</c:v>
                </c:pt>
                <c:pt idx="355">
                  <c:v>-24.5070712374644</c:v>
                </c:pt>
                <c:pt idx="356">
                  <c:v>-24.4060893640899</c:v>
                </c:pt>
                <c:pt idx="357">
                  <c:v>-24.3161915612714</c:v>
                </c:pt>
                <c:pt idx="358">
                  <c:v>-24.2373915714975</c:v>
                </c:pt>
                <c:pt idx="359">
                  <c:v>-24.1697019674755</c:v>
                </c:pt>
                <c:pt idx="360">
                  <c:v>-24.1131343108012</c:v>
                </c:pt>
                <c:pt idx="361">
                  <c:v>-24.0676992922394</c:v>
                </c:pt>
                <c:pt idx="362">
                  <c:v>-24.0334068534972</c:v>
                </c:pt>
                <c:pt idx="363">
                  <c:v>-24.0102662903903</c:v>
                </c:pt>
                <c:pt idx="364">
                  <c:v>-23.9982863373364</c:v>
                </c:pt>
                <c:pt idx="365">
                  <c:v>-23.9974752331129</c:v>
                </c:pt>
                <c:pt idx="366">
                  <c:v>-24.007840767849</c:v>
                </c:pt>
                <c:pt idx="367">
                  <c:v>-24.0293903112211</c:v>
                </c:pt>
                <c:pt idx="368">
                  <c:v>-24.0621308218441</c:v>
                </c:pt>
                <c:pt idx="369">
                  <c:v>-24.1060688378538</c:v>
                </c:pt>
                <c:pt idx="370">
                  <c:v>-24.1612104486899</c:v>
                </c:pt>
                <c:pt idx="371">
                  <c:v>-24.227561248106</c:v>
                </c:pt>
                <c:pt idx="372">
                  <c:v>-24.3051262684309</c:v>
                </c:pt>
                <c:pt idx="373">
                  <c:v>-24.3939098961376</c:v>
                </c:pt>
                <c:pt idx="374">
                  <c:v>-24.4939157687826</c:v>
                </c:pt>
                <c:pt idx="375">
                  <c:v>-24.605146653398</c:v>
                </c:pt>
                <c:pt idx="376">
                  <c:v>-24.7276043064477</c:v>
                </c:pt>
                <c:pt idx="377">
                  <c:v>-24.8612893154879</c:v>
                </c:pt>
                <c:pt idx="378">
                  <c:v>-25.0062009226976</c:v>
                </c:pt>
                <c:pt idx="379">
                  <c:v>-25.1623368304947</c:v>
                </c:pt>
                <c:pt idx="380">
                  <c:v>-25.3296929894914</c:v>
                </c:pt>
                <c:pt idx="381">
                  <c:v>-25.5082633690984</c:v>
                </c:pt>
                <c:pt idx="382">
                  <c:v>-25.6980397111447</c:v>
                </c:pt>
                <c:pt idx="383">
                  <c:v>-25.8990112669537</c:v>
                </c:pt>
                <c:pt idx="384">
                  <c:v>-26.1111645183798</c:v>
                </c:pt>
                <c:pt idx="385">
                  <c:v>-26.3344828834085</c:v>
                </c:pt>
                <c:pt idx="386">
                  <c:v>-26.5689464070033</c:v>
                </c:pt>
                <c:pt idx="387">
                  <c:v>-26.8145314379928</c:v>
                </c:pt>
                <c:pt idx="388">
                  <c:v>-27.0712102928953</c:v>
                </c:pt>
                <c:pt idx="389">
                  <c:v>-27.3389509077005</c:v>
                </c:pt>
                <c:pt idx="390">
                  <c:v>-27.6177164787568</c:v>
                </c:pt>
                <c:pt idx="391">
                  <c:v>-27.9074650940378</c:v>
                </c:pt>
                <c:pt idx="392">
                  <c:v>-28.2081493562182</c:v>
                </c:pt>
                <c:pt idx="393">
                  <c:v>-28.5197159991228</c:v>
                </c:pt>
                <c:pt idx="394">
                  <c:v>-28.8421054992729</c:v>
                </c:pt>
                <c:pt idx="395">
                  <c:v>-29.1752516844143</c:v>
                </c:pt>
                <c:pt idx="396">
                  <c:v>-29.5190813410567</c:v>
                </c:pt>
                <c:pt idx="397">
                  <c:v>-29.8735138232317</c:v>
                </c:pt>
                <c:pt idx="398">
                  <c:v>-30.2384606648186</c:v>
                </c:pt>
                <c:pt idx="399">
                  <c:v>-30.6138251979502</c:v>
                </c:pt>
                <c:pt idx="400">
                  <c:v>-30.9995021801535</c:v>
                </c:pt>
                <c:pt idx="401">
                  <c:v>-31.3953774330202</c:v>
                </c:pt>
                <c:pt idx="402">
                  <c:v>-31.8013274953264</c:v>
                </c:pt>
                <c:pt idx="403">
                  <c:v>-32.217219293631</c:v>
                </c:pt>
                <c:pt idx="404">
                  <c:v>-32.6429098334733</c:v>
                </c:pt>
                <c:pt idx="405">
                  <c:v>-33.0782459143618</c:v>
                </c:pt>
                <c:pt idx="406">
                  <c:v>-33.5230638717885</c:v>
                </c:pt>
                <c:pt idx="407">
                  <c:v>-33.9771893495165</c:v>
                </c:pt>
                <c:pt idx="408">
                  <c:v>-34.4404371053803</c:v>
                </c:pt>
                <c:pt idx="409">
                  <c:v>-34.9126108537751</c:v>
                </c:pt>
                <c:pt idx="410">
                  <c:v>-35.3935031479362</c:v>
                </c:pt>
                <c:pt idx="411">
                  <c:v>-35.8828953049723</c:v>
                </c:pt>
                <c:pt idx="412">
                  <c:v>-36.3805573764481</c:v>
                </c:pt>
                <c:pt idx="413">
                  <c:v>-36.886248167108</c:v>
                </c:pt>
                <c:pt idx="414">
                  <c:v>-37.3997153040617</c:v>
                </c:pt>
                <c:pt idx="415">
                  <c:v>-37.9206953584754</c:v>
                </c:pt>
                <c:pt idx="416">
                  <c:v>-38.4489140214488</c:v>
                </c:pt>
                <c:pt idx="417">
                  <c:v>-38.9840863353983</c:v>
                </c:pt>
                <c:pt idx="418">
                  <c:v>-39.5259169818357</c:v>
                </c:pt>
                <c:pt idx="419">
                  <c:v>-40.0741006259847</c:v>
                </c:pt>
                <c:pt idx="420">
                  <c:v>-40.6283223181998</c:v>
                </c:pt>
                <c:pt idx="421">
                  <c:v>-41.1882579516426</c:v>
                </c:pt>
                <c:pt idx="422">
                  <c:v>-41.7535747751498</c:v>
                </c:pt>
                <c:pt idx="423">
                  <c:v>-42.3239319596994</c:v>
                </c:pt>
                <c:pt idx="424">
                  <c:v>-42.8989812163414</c:v>
                </c:pt>
                <c:pt idx="425">
                  <c:v>-43.4783674629257</c:v>
                </c:pt>
                <c:pt idx="426">
                  <c:v>-44.061729536455</c:v>
                </c:pt>
                <c:pt idx="427">
                  <c:v>-44.6487009473783</c:v>
                </c:pt>
                <c:pt idx="428">
                  <c:v>-45.2389106716932</c:v>
                </c:pt>
                <c:pt idx="429">
                  <c:v>-45.8319839762808</c:v>
                </c:pt>
                <c:pt idx="430">
                  <c:v>-46.4275432725236</c:v>
                </c:pt>
                <c:pt idx="431">
                  <c:v>-47.0252089929372</c:v>
                </c:pt>
                <c:pt idx="432">
                  <c:v>-47.6246004852531</c:v>
                </c:pt>
                <c:pt idx="433">
                  <c:v>-48.2253369182075</c:v>
                </c:pt>
                <c:pt idx="434">
                  <c:v>-48.8270381931361</c:v>
                </c:pt>
                <c:pt idx="435">
                  <c:v>-49.4293258554151</c:v>
                </c:pt>
                <c:pt idx="436">
                  <c:v>-50.0318239997883</c:v>
                </c:pt>
                <c:pt idx="437">
                  <c:v>-50.634160163692</c:v>
                </c:pt>
                <c:pt idx="438">
                  <c:v>-51.2359662028465</c:v>
                </c:pt>
                <c:pt idx="439">
                  <c:v>-51.8368791435727</c:v>
                </c:pt>
                <c:pt idx="440">
                  <c:v>-52.4365420065907</c:v>
                </c:pt>
                <c:pt idx="441">
                  <c:v>-53.0346045973809</c:v>
                </c:pt>
                <c:pt idx="442">
                  <c:v>-53.630724258564</c:v>
                </c:pt>
                <c:pt idx="443">
                  <c:v>-54.2245665802091</c:v>
                </c:pt>
                <c:pt idx="444">
                  <c:v>-54.8158060644152</c:v>
                </c:pt>
                <c:pt idx="445">
                  <c:v>-55.4041267410449</c:v>
                </c:pt>
                <c:pt idx="446">
                  <c:v>-55.9892227319704</c:v>
                </c:pt>
                <c:pt idx="447">
                  <c:v>-56.570798761747</c:v>
                </c:pt>
                <c:pt idx="448">
                  <c:v>-57.1485706131491</c:v>
                </c:pt>
                <c:pt idx="449">
                  <c:v>-57.7222655265373</c:v>
                </c:pt>
                <c:pt idx="450">
                  <c:v>-58.291622542546</c:v>
                </c:pt>
                <c:pt idx="451">
                  <c:v>-58.8563927880729</c:v>
                </c:pt>
                <c:pt idx="452">
                  <c:v>-59.4163397060365</c:v>
                </c:pt>
                <c:pt idx="453">
                  <c:v>-59.971239229803</c:v>
                </c:pt>
                <c:pt idx="454">
                  <c:v>-60.520879903606</c:v>
                </c:pt>
                <c:pt idx="455">
                  <c:v>-61.0650629506418</c:v>
                </c:pt>
                <c:pt idx="456">
                  <c:v>-61.6036022908704</c:v>
                </c:pt>
                <c:pt idx="457">
                  <c:v>-62.1363245108303</c:v>
                </c:pt>
                <c:pt idx="458">
                  <c:v>-62.6630687880286</c:v>
                </c:pt>
                <c:pt idx="459">
                  <c:v>-63.1836867726704</c:v>
                </c:pt>
                <c:pt idx="460">
                  <c:v>-63.6980424296501</c:v>
                </c:pt>
                <c:pt idx="461">
                  <c:v>-64.2060118438479</c:v>
                </c:pt>
                <c:pt idx="462">
                  <c:v>-64.7074829918569</c:v>
                </c:pt>
                <c:pt idx="463">
                  <c:v>-65.2023554833022</c:v>
                </c:pt>
                <c:pt idx="464">
                  <c:v>-65.6905402749285</c:v>
                </c:pt>
                <c:pt idx="465">
                  <c:v>-66.1719593606012</c:v>
                </c:pt>
                <c:pt idx="466">
                  <c:v>-66.6465454403213</c:v>
                </c:pt>
                <c:pt idx="467">
                  <c:v>-67.1142415712654</c:v>
                </c:pt>
                <c:pt idx="468">
                  <c:v>-67.575000803779</c:v>
                </c:pt>
                <c:pt idx="469">
                  <c:v>-68.0287858051103</c:v>
                </c:pt>
                <c:pt idx="470">
                  <c:v>-68.4755684735626</c:v>
                </c:pt>
                <c:pt idx="471">
                  <c:v>-68.9153295455759</c:v>
                </c:pt>
                <c:pt idx="472">
                  <c:v>-69.348058198106</c:v>
                </c:pt>
                <c:pt idx="473">
                  <c:v>-69.7737516485024</c:v>
                </c:pt>
                <c:pt idx="474">
                  <c:v>-70.1924147539216</c:v>
                </c:pt>
                <c:pt idx="475">
                  <c:v>-70.6040596121424</c:v>
                </c:pt>
                <c:pt idx="476">
                  <c:v>-71.0087051654845</c:v>
                </c:pt>
                <c:pt idx="477">
                  <c:v>-71.4063768093648</c:v>
                </c:pt>
                <c:pt idx="478">
                  <c:v>-71.7971060068622</c:v>
                </c:pt>
                <c:pt idx="479">
                  <c:v>-72.1809299105096</c:v>
                </c:pt>
                <c:pt idx="480">
                  <c:v>-72.557890992374</c:v>
                </c:pt>
                <c:pt idx="481">
                  <c:v>-72.9280366833442</c:v>
                </c:pt>
                <c:pt idx="482">
                  <c:v>-73.2914190224102</c:v>
                </c:pt>
                <c:pt idx="483">
                  <c:v>-73.6480943165887</c:v>
                </c:pt>
                <c:pt idx="484">
                  <c:v>-73.9981228120253</c:v>
                </c:pt>
                <c:pt idx="485">
                  <c:v>-74.3415683766972</c:v>
                </c:pt>
                <c:pt idx="486">
                  <c:v>-74.6784981950346</c:v>
                </c:pt>
                <c:pt idx="487">
                  <c:v>-75.0089824746829</c:v>
                </c:pt>
                <c:pt idx="488">
                  <c:v>-75.3330941655446</c:v>
                </c:pt>
                <c:pt idx="489">
                  <c:v>-75.6509086911594</c:v>
                </c:pt>
                <c:pt idx="490">
                  <c:v>-75.9625036924128</c:v>
                </c:pt>
                <c:pt idx="491">
                  <c:v>-76.2679587834987</c:v>
                </c:pt>
                <c:pt idx="492">
                  <c:v>-76.5673553200089</c:v>
                </c:pt>
                <c:pt idx="493">
                  <c:v>-76.8607761789734</c:v>
                </c:pt>
                <c:pt idx="494">
                  <c:v>-77.1483055506313</c:v>
                </c:pt>
                <c:pt idx="495">
                  <c:v>-77.4300287416796</c:v>
                </c:pt>
                <c:pt idx="496">
                  <c:v>-77.7060319897147</c:v>
                </c:pt>
                <c:pt idx="497">
                  <c:v>-77.9764022885553</c:v>
                </c:pt>
                <c:pt idx="498">
                  <c:v>-78.2412272241197</c:v>
                </c:pt>
                <c:pt idx="499">
                  <c:v>-78.5005948205054</c:v>
                </c:pt>
                <c:pt idx="500">
                  <c:v>-78.7545933959185</c:v>
                </c:pt>
                <c:pt idx="501">
                  <c:v>-79.0033114280772</c:v>
                </c:pt>
                <c:pt idx="502">
                  <c:v>-79.2468374287245</c:v>
                </c:pt>
                <c:pt idx="503">
                  <c:v>-79.4852598268643</c:v>
                </c:pt>
                <c:pt idx="504">
                  <c:v>-79.7186668603512</c:v>
                </c:pt>
                <c:pt idx="505">
                  <c:v>-79.9471464754551</c:v>
                </c:pt>
                <c:pt idx="506">
                  <c:v>-80.1707862340275</c:v>
                </c:pt>
                <c:pt idx="507">
                  <c:v>-80.3896732279073</c:v>
                </c:pt>
                <c:pt idx="508">
                  <c:v>-80.6038940002004</c:v>
                </c:pt>
                <c:pt idx="509">
                  <c:v>-80.8135344730864</c:v>
                </c:pt>
                <c:pt idx="510">
                  <c:v>-81.0186798818044</c:v>
                </c:pt>
                <c:pt idx="511">
                  <c:v>-81.2194147144864</c:v>
                </c:pt>
                <c:pt idx="512">
                  <c:v>-81.4158226575142</c:v>
                </c:pt>
                <c:pt idx="513">
                  <c:v>-81.6079865460855</c:v>
                </c:pt>
                <c:pt idx="514">
                  <c:v>-81.7959883196898</c:v>
                </c:pt>
                <c:pt idx="515">
                  <c:v>-81.9799089821995</c:v>
                </c:pt>
                <c:pt idx="516">
                  <c:v>-82.1598285663014</c:v>
                </c:pt>
                <c:pt idx="517">
                  <c:v>-82.3358261019975</c:v>
                </c:pt>
                <c:pt idx="518">
                  <c:v>-82.5079795889199</c:v>
                </c:pt>
                <c:pt idx="519">
                  <c:v>-82.6763659722161</c:v>
                </c:pt>
                <c:pt idx="520">
                  <c:v>-82.8410611217701</c:v>
                </c:pt>
                <c:pt idx="521">
                  <c:v>-83.0021398145368</c:v>
                </c:pt>
                <c:pt idx="522">
                  <c:v>-83.1596757197796</c:v>
                </c:pt>
                <c:pt idx="523">
                  <c:v>-83.3137413870082</c:v>
                </c:pt>
                <c:pt idx="524">
                  <c:v>-83.4644082364288</c:v>
                </c:pt>
                <c:pt idx="525">
                  <c:v>-83.611746551724</c:v>
                </c:pt>
                <c:pt idx="526">
                  <c:v>-83.7558254749925</c:v>
                </c:pt>
                <c:pt idx="527">
                  <c:v>-83.8967130036872</c:v>
                </c:pt>
                <c:pt idx="528">
                  <c:v>-84.0344759894001</c:v>
                </c:pt>
                <c:pt idx="529">
                  <c:v>-84.1691801383489</c:v>
                </c:pt>
                <c:pt idx="530">
                  <c:v>-84.3008900134305</c:v>
                </c:pt>
                <c:pt idx="531">
                  <c:v>-84.4296690377149</c:v>
                </c:pt>
                <c:pt idx="532">
                  <c:v>-84.5555794992588</c:v>
                </c:pt>
                <c:pt idx="533">
                  <c:v>-84.6786825571257</c:v>
                </c:pt>
                <c:pt idx="534">
                  <c:v>-84.7990382485099</c:v>
                </c:pt>
                <c:pt idx="535">
                  <c:v>-84.9167054968613</c:v>
                </c:pt>
                <c:pt idx="536">
                  <c:v>-85.0317421209215</c:v>
                </c:pt>
                <c:pt idx="537">
                  <c:v>-85.1442048445832</c:v>
                </c:pt>
                <c:pt idx="538">
                  <c:v>-85.2541493074921</c:v>
                </c:pt>
                <c:pt idx="539">
                  <c:v>-85.3616300763151</c:v>
                </c:pt>
                <c:pt idx="540">
                  <c:v>-85.4667006566042</c:v>
                </c:pt>
                <c:pt idx="541">
                  <c:v>-85.5694135051913</c:v>
                </c:pt>
              </c:numCache>
            </c:numRef>
          </c:yVal>
          <c:smooth val="1"/>
        </c:ser>
        <c:dLbls>
          <c:showLegendKey val="0"/>
          <c:showVal val="0"/>
          <c:showCatName val="0"/>
          <c:showSerName val="0"/>
          <c:showPercent val="0"/>
          <c:showBubbleSize val="0"/>
        </c:dLbls>
        <c:axId val="178862336"/>
        <c:axId val="178860800"/>
      </c:scatterChart>
      <c:valAx>
        <c:axId val="178856704"/>
        <c:scaling>
          <c:logBase val="10"/>
          <c:orientation val="minMax"/>
          <c:max val="2200000"/>
          <c:min val="10"/>
        </c:scaling>
        <c:delete val="0"/>
        <c:axPos val="b"/>
        <c:minorGridlines/>
        <c:title>
          <c:tx>
            <c:rich>
              <a:bodyPr rot="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Frequency</a:t>
                </a:r>
                <a:r>
                  <a:rPr lang="en-US" baseline="0"/>
                  <a:t> (Hz)</a:t>
                </a:r>
                <a:endParaRPr lang="en-US"/>
              </a:p>
            </c:rich>
          </c:tx>
          <c:layout/>
          <c:overlay val="0"/>
        </c:title>
        <c:numFmt formatCode="0" sourceLinked="0"/>
        <c:majorTickMark val="out"/>
        <c:minorTickMark val="none"/>
        <c:tickLblPos val="low"/>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858624"/>
        <c:crosses val="autoZero"/>
        <c:crossBetween val="midCat"/>
      </c:valAx>
      <c:valAx>
        <c:axId val="178858624"/>
        <c:scaling>
          <c:orientation val="minMax"/>
          <c:max val="40"/>
          <c:min val="-40"/>
        </c:scaling>
        <c:delete val="0"/>
        <c:axPos val="l"/>
        <c:majorGridlines/>
        <c:minorGridlines/>
        <c:title>
          <c:tx>
            <c:rich>
              <a:bodyPr rot="-540000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Gain</a:t>
                </a:r>
                <a:r>
                  <a:rPr lang="en-US" baseline="0"/>
                  <a:t> (dB)</a:t>
                </a:r>
                <a:endParaRPr lang="en-US"/>
              </a:p>
            </c:rich>
          </c:tx>
          <c:layout/>
          <c:overlay val="0"/>
        </c:title>
        <c:numFmt formatCode="General" sourceLinked="0"/>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856704"/>
        <c:crosses val="autoZero"/>
        <c:crossBetween val="midCat"/>
        <c:majorUnit val="20"/>
        <c:minorUnit val="10"/>
      </c:valAx>
      <c:valAx>
        <c:axId val="178862336"/>
        <c:scaling>
          <c:logBase val="10"/>
          <c:orientation val="minMax"/>
        </c:scaling>
        <c:delete val="1"/>
        <c:axPos val="b"/>
        <c:numFmt formatCode="0.00"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860800"/>
        <c:crosses val="autoZero"/>
        <c:crossBetween val="midCat"/>
      </c:valAx>
      <c:valAx>
        <c:axId val="178860800"/>
        <c:scaling>
          <c:orientation val="minMax"/>
          <c:max val="180"/>
          <c:min val="-180"/>
        </c:scaling>
        <c:delete val="0"/>
        <c:axPos val="r"/>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862336"/>
        <c:crosses val="max"/>
        <c:crossBetween val="midCat"/>
        <c:majorUnit val="90"/>
        <c:minorUnit val="45"/>
      </c:valAx>
    </c:plotArea>
    <c:legend>
      <c:legendPos val="r"/>
      <c:layout>
        <c:manualLayout>
          <c:xMode val="edge"/>
          <c:yMode val="edge"/>
          <c:x val="0.798805582095125"/>
          <c:y val="0.14321997959862"/>
          <c:w val="0.134594492760573"/>
          <c:h val="0.106916098611994"/>
        </c:manualLayout>
      </c:layout>
      <c:overlay val="1"/>
      <c:spPr>
        <a:solidFill>
          <a:schemeClr val="bg1"/>
        </a:solidFill>
      </c:spPr>
      <c:txPr>
        <a:bodyPr rot="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642237c-f052-44fa-acdb-ac797fb65b45}"/>
      </c:ext>
    </c:extLst>
  </c:chart>
  <c:txPr>
    <a:bodyPr/>
    <a:lstStyle/>
    <a:p>
      <a:pPr>
        <a:defRPr lang="pl-PL"/>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pl-PL" sz="1800" b="1" i="0" u="none" strike="noStrike" kern="1200" baseline="0">
                <a:solidFill>
                  <a:schemeClr val="tx1"/>
                </a:solidFill>
                <a:latin typeface="+mn-lt"/>
                <a:ea typeface="+mn-ea"/>
                <a:cs typeface="+mn-cs"/>
              </a:defRPr>
            </a:pPr>
            <a:r>
              <a:rPr lang="en-US" baseline="0"/>
              <a:t>DCM Control Loop Transfer Function</a:t>
            </a:r>
            <a:endParaRPr lang="en-US" baseline="0"/>
          </a:p>
        </c:rich>
      </c:tx>
      <c:layout/>
      <c:overlay val="0"/>
    </c:title>
    <c:autoTitleDeleted val="0"/>
    <c:plotArea>
      <c:layout/>
      <c:scatterChart>
        <c:scatterStyle val="smooth"/>
        <c:varyColors val="0"/>
        <c:ser>
          <c:idx val="0"/>
          <c:order val="0"/>
          <c:spPr>
            <a:ln w="38100" cap="rnd" cmpd="sng" algn="ctr">
              <a:solidFill>
                <a:srgbClr val="FF0000"/>
              </a:solidFill>
              <a:prstDash val="solid"/>
              <a:round/>
            </a:ln>
          </c:spPr>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Loop_Modeling!$BJ$19:$BJ$560</c:f>
              <c:numCache>
                <c:formatCode>0.000</c:formatCode>
                <c:ptCount val="542"/>
                <c:pt idx="0">
                  <c:v>73.0078690164444</c:v>
                </c:pt>
                <c:pt idx="1">
                  <c:v>72.808032838358</c:v>
                </c:pt>
                <c:pt idx="2">
                  <c:v>72.6082043669195</c:v>
                </c:pt>
                <c:pt idx="3">
                  <c:v>72.4083839639796</c:v>
                </c:pt>
                <c:pt idx="4">
                  <c:v>72.2085720083122</c:v>
                </c:pt>
                <c:pt idx="5">
                  <c:v>72.0087688963995</c:v>
                </c:pt>
                <c:pt idx="6">
                  <c:v>71.8089750432528</c:v>
                </c:pt>
                <c:pt idx="7">
                  <c:v>71.6091908832712</c:v>
                </c:pt>
                <c:pt idx="8">
                  <c:v>71.4094168711381</c:v>
                </c:pt>
                <c:pt idx="9">
                  <c:v>71.2096534827599</c:v>
                </c:pt>
                <c:pt idx="10">
                  <c:v>71.0099012162455</c:v>
                </c:pt>
                <c:pt idx="11">
                  <c:v>70.810160592932</c:v>
                </c:pt>
                <c:pt idx="12">
                  <c:v>70.610432158455</c:v>
                </c:pt>
                <c:pt idx="13">
                  <c:v>70.4107164838678</c:v>
                </c:pt>
                <c:pt idx="14">
                  <c:v>70.2110141668113</c:v>
                </c:pt>
                <c:pt idx="15">
                  <c:v>70.0113258327346</c:v>
                </c:pt>
                <c:pt idx="16">
                  <c:v>69.811652136173</c:v>
                </c:pt>
                <c:pt idx="17">
                  <c:v>69.6119937620798</c:v>
                </c:pt>
                <c:pt idx="18">
                  <c:v>69.4123514272196</c:v>
                </c:pt>
                <c:pt idx="19">
                  <c:v>69.2127258816224</c:v>
                </c:pt>
                <c:pt idx="20">
                  <c:v>69.0131179101013</c:v>
                </c:pt>
                <c:pt idx="21">
                  <c:v>68.8135283338393</c:v>
                </c:pt>
                <c:pt idx="22">
                  <c:v>68.6139580120427</c:v>
                </c:pt>
                <c:pt idx="23">
                  <c:v>68.4144078436686</c:v>
                </c:pt>
                <c:pt idx="24">
                  <c:v>68.2148787692282</c:v>
                </c:pt>
                <c:pt idx="25">
                  <c:v>68.0153717726667</c:v>
                </c:pt>
                <c:pt idx="26">
                  <c:v>67.8158878833248</c:v>
                </c:pt>
                <c:pt idx="27">
                  <c:v>67.616428177986</c:v>
                </c:pt>
                <c:pt idx="28">
                  <c:v>67.4169937830095</c:v>
                </c:pt>
                <c:pt idx="29">
                  <c:v>67.2175858765553</c:v>
                </c:pt>
                <c:pt idx="30">
                  <c:v>67.0182056909028</c:v>
                </c:pt>
                <c:pt idx="31">
                  <c:v>66.8188545148681</c:v>
                </c:pt>
                <c:pt idx="32">
                  <c:v>66.619533696321</c:v>
                </c:pt>
                <c:pt idx="33">
                  <c:v>66.4202446448081</c:v>
                </c:pt>
                <c:pt idx="34">
                  <c:v>66.2209888342836</c:v>
                </c:pt>
                <c:pt idx="35">
                  <c:v>66.0217678059529</c:v>
                </c:pt>
                <c:pt idx="36">
                  <c:v>65.8225831712307</c:v>
                </c:pt>
                <c:pt idx="37">
                  <c:v>65.6234366148208</c:v>
                </c:pt>
                <c:pt idx="38">
                  <c:v>65.4243298979171</c:v>
                </c:pt>
                <c:pt idx="39">
                  <c:v>65.2252648615334</c:v>
                </c:pt>
                <c:pt idx="40">
                  <c:v>65.0262434299636</c:v>
                </c:pt>
                <c:pt idx="41">
                  <c:v>64.8272676143766</c:v>
                </c:pt>
                <c:pt idx="42">
                  <c:v>64.6283395165503</c:v>
                </c:pt>
                <c:pt idx="43">
                  <c:v>64.4294613327472</c:v>
                </c:pt>
                <c:pt idx="44">
                  <c:v>64.2306353577357</c:v>
                </c:pt>
                <c:pt idx="45">
                  <c:v>64.0318639889618</c:v>
                </c:pt>
                <c:pt idx="46">
                  <c:v>63.8331497308724</c:v>
                </c:pt>
                <c:pt idx="47">
                  <c:v>63.6344951993948</c:v>
                </c:pt>
                <c:pt idx="48">
                  <c:v>63.4359031265753</c:v>
                </c:pt>
                <c:pt idx="49">
                  <c:v>63.237376365379</c:v>
                </c:pt>
                <c:pt idx="50">
                  <c:v>63.0389178946544</c:v>
                </c:pt>
                <c:pt idx="51">
                  <c:v>62.840530824263</c:v>
                </c:pt>
                <c:pt idx="52">
                  <c:v>62.6422184003779</c:v>
                </c:pt>
                <c:pt idx="53">
                  <c:v>62.4439840109517</c:v>
                </c:pt>
                <c:pt idx="54">
                  <c:v>62.2458311913534</c:v>
                </c:pt>
                <c:pt idx="55">
                  <c:v>62.0477636301767</c:v>
                </c:pt>
                <c:pt idx="56">
                  <c:v>61.8497851752176</c:v>
                </c:pt>
                <c:pt idx="57">
                  <c:v>61.6518998396209</c:v>
                </c:pt>
                <c:pt idx="58">
                  <c:v>61.4541118081934</c:v>
                </c:pt>
                <c:pt idx="59">
                  <c:v>61.2564254438814</c:v>
                </c:pt>
                <c:pt idx="60">
                  <c:v>61.0588452944072</c:v>
                </c:pt>
                <c:pt idx="61">
                  <c:v>60.8613760990623</c:v>
                </c:pt>
                <c:pt idx="62">
                  <c:v>60.6640227956476</c:v>
                </c:pt>
                <c:pt idx="63">
                  <c:v>60.4667905275559</c:v>
                </c:pt>
                <c:pt idx="64">
                  <c:v>60.2696846509867</c:v>
                </c:pt>
                <c:pt idx="65">
                  <c:v>60.0727107422811</c:v>
                </c:pt>
                <c:pt idx="66">
                  <c:v>59.8758746053666</c:v>
                </c:pt>
                <c:pt idx="67">
                  <c:v>59.6791822792952</c:v>
                </c:pt>
                <c:pt idx="68">
                  <c:v>59.4826400458604</c:v>
                </c:pt>
                <c:pt idx="69">
                  <c:v>59.2862544372703</c:v>
                </c:pt>
                <c:pt idx="70">
                  <c:v>59.0900322438597</c:v>
                </c:pt>
                <c:pt idx="71">
                  <c:v>58.8939805218141</c:v>
                </c:pt>
                <c:pt idx="72">
                  <c:v>58.6981066008782</c:v>
                </c:pt>
                <c:pt idx="73">
                  <c:v>58.5024180920205</c:v>
                </c:pt>
                <c:pt idx="74">
                  <c:v>58.3069228950177</c:v>
                </c:pt>
                <c:pt idx="75">
                  <c:v>58.1116292059233</c:v>
                </c:pt>
                <c:pt idx="76">
                  <c:v>57.9165455243786</c:v>
                </c:pt>
                <c:pt idx="77">
                  <c:v>57.7216806607191</c:v>
                </c:pt>
                <c:pt idx="78">
                  <c:v>57.5270437428289</c:v>
                </c:pt>
                <c:pt idx="79">
                  <c:v>57.3326442226857</c:v>
                </c:pt>
                <c:pt idx="80">
                  <c:v>57.1384918825404</c:v>
                </c:pt>
                <c:pt idx="81">
                  <c:v>56.9445968406623</c:v>
                </c:pt>
                <c:pt idx="82">
                  <c:v>56.7509695565846</c:v>
                </c:pt>
                <c:pt idx="83">
                  <c:v>56.5576208357712</c:v>
                </c:pt>
                <c:pt idx="84">
                  <c:v>56.3645618336247</c:v>
                </c:pt>
                <c:pt idx="85">
                  <c:v>56.1718040587494</c:v>
                </c:pt>
                <c:pt idx="86">
                  <c:v>55.979359375373</c:v>
                </c:pt>
                <c:pt idx="87">
                  <c:v>55.7872400048311</c:v>
                </c:pt>
                <c:pt idx="88">
                  <c:v>55.5954585260052</c:v>
                </c:pt>
                <c:pt idx="89">
                  <c:v>55.4040278746044</c:v>
                </c:pt>
                <c:pt idx="90">
                  <c:v>55.2129613411706</c:v>
                </c:pt>
                <c:pt idx="91">
                  <c:v>55.022272567684</c:v>
                </c:pt>
                <c:pt idx="92">
                  <c:v>54.8319755426373</c:v>
                </c:pt>
                <c:pt idx="93">
                  <c:v>54.6420845944426</c:v>
                </c:pt>
                <c:pt idx="94">
                  <c:v>54.4526143830299</c:v>
                </c:pt>
                <c:pt idx="95">
                  <c:v>54.2635798894907</c:v>
                </c:pt>
                <c:pt idx="96">
                  <c:v>54.0749964036161</c:v>
                </c:pt>
                <c:pt idx="97">
                  <c:v>53.8868795091763</c:v>
                </c:pt>
                <c:pt idx="98">
                  <c:v>53.6992450667846</c:v>
                </c:pt>
                <c:pt idx="99">
                  <c:v>53.5121091941897</c:v>
                </c:pt>
                <c:pt idx="100">
                  <c:v>53.3254882438367</c:v>
                </c:pt>
                <c:pt idx="101">
                  <c:v>53.1393987775436</c:v>
                </c:pt>
                <c:pt idx="102">
                  <c:v>52.9538575381381</c:v>
                </c:pt>
                <c:pt idx="103">
                  <c:v>52.7688814179066</c:v>
                </c:pt>
                <c:pt idx="104">
                  <c:v>52.5844874237165</c:v>
                </c:pt>
                <c:pt idx="105">
                  <c:v>52.4006926386763</c:v>
                </c:pt>
                <c:pt idx="106">
                  <c:v>52.217514180217</c:v>
                </c:pt>
                <c:pt idx="107">
                  <c:v>52.0349691544869</c:v>
                </c:pt>
                <c:pt idx="108">
                  <c:v>51.8530746069701</c:v>
                </c:pt>
                <c:pt idx="109">
                  <c:v>51.6718474692639</c:v>
                </c:pt>
                <c:pt idx="110">
                  <c:v>51.4913045019671</c:v>
                </c:pt>
                <c:pt idx="111">
                  <c:v>51.3114622336616</c:v>
                </c:pt>
                <c:pt idx="112">
                  <c:v>51.1323368960018</c:v>
                </c:pt>
                <c:pt idx="113">
                  <c:v>50.9539443549539</c:v>
                </c:pt>
                <c:pt idx="114">
                  <c:v>50.7763000382716</c:v>
                </c:pt>
                <c:pt idx="115">
                  <c:v>50.5994188593287</c:v>
                </c:pt>
                <c:pt idx="116">
                  <c:v>50.4233151374782</c:v>
                </c:pt>
                <c:pt idx="117">
                  <c:v>50.24800251515</c:v>
                </c:pt>
                <c:pt idx="118">
                  <c:v>50.0734938719527</c:v>
                </c:pt>
                <c:pt idx="119">
                  <c:v>49.8998012360935</c:v>
                </c:pt>
                <c:pt idx="120">
                  <c:v>49.7269356934885</c:v>
                </c:pt>
                <c:pt idx="121">
                  <c:v>49.554907294986</c:v>
                </c:pt>
                <c:pt idx="122">
                  <c:v>49.3837249621881</c:v>
                </c:pt>
                <c:pt idx="123">
                  <c:v>49.2133963924059</c:v>
                </c:pt>
                <c:pt idx="124">
                  <c:v>49.0439279633448</c:v>
                </c:pt>
                <c:pt idx="125">
                  <c:v>48.8753246381664</c:v>
                </c:pt>
                <c:pt idx="126">
                  <c:v>48.7075898716279</c:v>
                </c:pt>
                <c:pt idx="127">
                  <c:v>48.5407255180469</c:v>
                </c:pt>
                <c:pt idx="128">
                  <c:v>48.3747317418813</c:v>
                </c:pt>
                <c:pt idx="129">
                  <c:v>48.2096069317542</c:v>
                </c:pt>
                <c:pt idx="130">
                  <c:v>48.04534761878</c:v>
                </c:pt>
                <c:pt idx="131">
                  <c:v>47.8819484000764</c:v>
                </c:pt>
                <c:pt idx="132">
                  <c:v>47.7194018683526</c:v>
                </c:pt>
                <c:pt idx="133">
                  <c:v>47.5576985484742</c:v>
                </c:pt>
                <c:pt idx="134">
                  <c:v>47.3968268418935</c:v>
                </c:pt>
                <c:pt idx="135">
                  <c:v>47.2367729798139</c:v>
                </c:pt>
                <c:pt idx="136">
                  <c:v>47.0775209859301</c:v>
                </c:pt>
                <c:pt idx="137">
                  <c:v>46.919052649534</c:v>
                </c:pt>
                <c:pt idx="138">
                  <c:v>46.7613475097258</c:v>
                </c:pt>
                <c:pt idx="139">
                  <c:v>46.6043828513929</c:v>
                </c:pt>
                <c:pt idx="140">
                  <c:v>46.4481337135427</c:v>
                </c:pt>
                <c:pt idx="141">
                  <c:v>46.2925729104737</c:v>
                </c:pt>
                <c:pt idx="142">
                  <c:v>46.1376710661665</c:v>
                </c:pt>
                <c:pt idx="143">
                  <c:v>45.9833966621602</c:v>
                </c:pt>
                <c:pt idx="144">
                  <c:v>45.8297160990501</c:v>
                </c:pt>
                <c:pt idx="145">
                  <c:v>45.6765937716132</c:v>
                </c:pt>
                <c:pt idx="146">
                  <c:v>45.5239921574272</c:v>
                </c:pt>
                <c:pt idx="147">
                  <c:v>45.371871918706</c:v>
                </c:pt>
                <c:pt idx="148">
                  <c:v>45.2201920169318</c:v>
                </c:pt>
                <c:pt idx="149">
                  <c:v>45.0689098397197</c:v>
                </c:pt>
                <c:pt idx="150">
                  <c:v>44.9179813392096</c:v>
                </c:pt>
                <c:pt idx="151">
                  <c:v>44.7673611811456</c:v>
                </c:pt>
                <c:pt idx="152">
                  <c:v>44.6170029036752</c:v>
                </c:pt>
                <c:pt idx="153">
                  <c:v>44.4668590847828</c:v>
                </c:pt>
                <c:pt idx="154">
                  <c:v>44.3168815171638</c:v>
                </c:pt>
                <c:pt idx="155">
                  <c:v>44.1670213892564</c:v>
                </c:pt>
                <c:pt idx="156">
                  <c:v>44.0172294710665</c:v>
                </c:pt>
                <c:pt idx="157">
                  <c:v>43.8674563033658</c:v>
                </c:pt>
                <c:pt idx="158">
                  <c:v>43.7176523887941</c:v>
                </c:pt>
                <c:pt idx="159">
                  <c:v>43.5677683833797</c:v>
                </c:pt>
                <c:pt idx="160">
                  <c:v>43.4177552869802</c:v>
                </c:pt>
                <c:pt idx="161">
                  <c:v>43.2675646311661</c:v>
                </c:pt>
                <c:pt idx="162">
                  <c:v>43.1171486630974</c:v>
                </c:pt>
                <c:pt idx="163">
                  <c:v>42.9664605239986</c:v>
                </c:pt>
                <c:pt idx="164">
                  <c:v>42.8154544209057</c:v>
                </c:pt>
                <c:pt idx="165">
                  <c:v>42.6640857904413</c:v>
                </c:pt>
                <c:pt idx="166">
                  <c:v>42.5123114534752</c:v>
                </c:pt>
                <c:pt idx="167">
                  <c:v>42.3600897596421</c:v>
                </c:pt>
                <c:pt idx="168">
                  <c:v>42.2073807208068</c:v>
                </c:pt>
                <c:pt idx="169">
                  <c:v>42.0541461327011</c:v>
                </c:pt>
                <c:pt idx="170">
                  <c:v>41.9003496840973</c:v>
                </c:pt>
                <c:pt idx="171">
                  <c:v>41.7459570530205</c:v>
                </c:pt>
                <c:pt idx="172">
                  <c:v>41.59093598965</c:v>
                </c:pt>
                <c:pt idx="173">
                  <c:v>41.4352563857032</c:v>
                </c:pt>
                <c:pt idx="174">
                  <c:v>41.2788903302341</c:v>
                </c:pt>
                <c:pt idx="175">
                  <c:v>41.1218121519184</c:v>
                </c:pt>
                <c:pt idx="176">
                  <c:v>40.9639984480253</c:v>
                </c:pt>
                <c:pt idx="177">
                  <c:v>40.8054281003968</c:v>
                </c:pt>
                <c:pt idx="178">
                  <c:v>40.6460822788709</c:v>
                </c:pt>
                <c:pt idx="179">
                  <c:v>40.485944432683</c:v>
                </c:pt>
                <c:pt idx="180">
                  <c:v>40.3250002704711</c:v>
                </c:pt>
                <c:pt idx="181">
                  <c:v>40.163237729587</c:v>
                </c:pt>
                <c:pt idx="182">
                  <c:v>40.000646935482</c:v>
                </c:pt>
                <c:pt idx="183">
                  <c:v>39.8372201519834</c:v>
                </c:pt>
                <c:pt idx="184">
                  <c:v>39.6729517233195</c:v>
                </c:pt>
                <c:pt idx="185">
                  <c:v>39.5078380087774</c:v>
                </c:pt>
                <c:pt idx="186">
                  <c:v>39.3418773108874</c:v>
                </c:pt>
                <c:pt idx="187">
                  <c:v>39.175069798037</c:v>
                </c:pt>
                <c:pt idx="188">
                  <c:v>39.007417422402</c:v>
                </c:pt>
                <c:pt idx="189">
                  <c:v>38.8389238340723</c:v>
                </c:pt>
                <c:pt idx="190">
                  <c:v>38.6695942922154</c:v>
                </c:pt>
                <c:pt idx="191">
                  <c:v>38.4994355740943</c:v>
                </c:pt>
                <c:pt idx="192">
                  <c:v>38.3284558827125</c:v>
                </c:pt>
                <c:pt idx="193">
                  <c:v>38.1566647538116</c:v>
                </c:pt>
                <c:pt idx="194">
                  <c:v>37.9840729629016</c:v>
                </c:pt>
                <c:pt idx="195">
                  <c:v>37.8106924329485</c:v>
                </c:pt>
                <c:pt idx="196">
                  <c:v>37.6365361432873</c:v>
                </c:pt>
                <c:pt idx="197">
                  <c:v>37.4616180402767</c:v>
                </c:pt>
                <c:pt idx="198">
                  <c:v>37.2859529501497</c:v>
                </c:pt>
                <c:pt idx="199">
                  <c:v>37.1095564944636</c:v>
                </c:pt>
                <c:pt idx="200">
                  <c:v>36.9324450084922</c:v>
                </c:pt>
                <c:pt idx="201">
                  <c:v>36.7546354628553</c:v>
                </c:pt>
                <c:pt idx="202">
                  <c:v>36.5761453886248</c:v>
                </c:pt>
                <c:pt idx="203">
                  <c:v>36.3969928061012</c:v>
                </c:pt>
                <c:pt idx="204">
                  <c:v>36.2171961574053</c:v>
                </c:pt>
                <c:pt idx="205">
                  <c:v>36.036774242993</c:v>
                </c:pt>
                <c:pt idx="206">
                  <c:v>35.8557461621545</c:v>
                </c:pt>
                <c:pt idx="207">
                  <c:v>35.6741312575303</c:v>
                </c:pt>
                <c:pt idx="208">
                  <c:v>35.4919490636379</c:v>
                </c:pt>
                <c:pt idx="209">
                  <c:v>35.3092192593801</c:v>
                </c:pt>
                <c:pt idx="210">
                  <c:v>35.1259616244744</c:v>
                </c:pt>
                <c:pt idx="211">
                  <c:v>34.9421959997245</c:v>
                </c:pt>
                <c:pt idx="212">
                  <c:v>34.7579422510332</c:v>
                </c:pt>
                <c:pt idx="213">
                  <c:v>34.5732202370406</c:v>
                </c:pt>
                <c:pt idx="214">
                  <c:v>34.3880497802575</c:v>
                </c:pt>
                <c:pt idx="215">
                  <c:v>34.2024506415502</c:v>
                </c:pt>
                <c:pt idx="216">
                  <c:v>34.0164424978291</c:v>
                </c:pt>
                <c:pt idx="217">
                  <c:v>33.8300449227801</c:v>
                </c:pt>
                <c:pt idx="218">
                  <c:v>33.6432773704765</c:v>
                </c:pt>
                <c:pt idx="219">
                  <c:v>33.4561591617055</c:v>
                </c:pt>
                <c:pt idx="220">
                  <c:v>33.2687094728404</c:v>
                </c:pt>
                <c:pt idx="221">
                  <c:v>33.0809473270855</c:v>
                </c:pt>
                <c:pt idx="222">
                  <c:v>32.8928915879306</c:v>
                </c:pt>
                <c:pt idx="223">
                  <c:v>32.7045609546394</c:v>
                </c:pt>
                <c:pt idx="224">
                  <c:v>32.515973959611</c:v>
                </c:pt>
                <c:pt idx="225">
                  <c:v>32.3271489674451</c:v>
                </c:pt>
                <c:pt idx="226">
                  <c:v>32.1381041755542</c:v>
                </c:pt>
                <c:pt idx="227">
                  <c:v>31.9488576161603</c:v>
                </c:pt>
                <c:pt idx="228">
                  <c:v>31.7594271595216</c:v>
                </c:pt>
                <c:pt idx="229">
                  <c:v>31.5698305182384</c:v>
                </c:pt>
                <c:pt idx="230">
                  <c:v>31.3800852524882</c:v>
                </c:pt>
                <c:pt idx="231">
                  <c:v>31.1902087760445</c:v>
                </c:pt>
                <c:pt idx="232">
                  <c:v>31.0002183629364</c:v>
                </c:pt>
                <c:pt idx="233">
                  <c:v>30.8101311546103</c:v>
                </c:pt>
                <c:pt idx="234">
                  <c:v>30.6199641674546</c:v>
                </c:pt>
                <c:pt idx="235">
                  <c:v>30.4297343005547</c:v>
                </c:pt>
                <c:pt idx="236">
                  <c:v>30.2394583435433</c:v>
                </c:pt>
                <c:pt idx="237">
                  <c:v>30.0491529844167</c:v>
                </c:pt>
                <c:pt idx="238">
                  <c:v>29.8588348171846</c:v>
                </c:pt>
                <c:pt idx="239">
                  <c:v>29.6685203492281</c:v>
                </c:pt>
                <c:pt idx="240">
                  <c:v>29.4782260082344</c:v>
                </c:pt>
                <c:pt idx="241">
                  <c:v>29.2879681485829</c:v>
                </c:pt>
                <c:pt idx="242">
                  <c:v>29.0977630570547</c:v>
                </c:pt>
                <c:pt idx="243">
                  <c:v>28.9076269577383</c:v>
                </c:pt>
                <c:pt idx="244">
                  <c:v>28.7175760160045</c:v>
                </c:pt>
                <c:pt idx="245">
                  <c:v>28.5276263414232</c:v>
                </c:pt>
                <c:pt idx="246">
                  <c:v>28.3377939894952</c:v>
                </c:pt>
                <c:pt idx="247">
                  <c:v>28.1480949620708</c:v>
                </c:pt>
                <c:pt idx="248">
                  <c:v>27.9585452063307</c:v>
                </c:pt>
                <c:pt idx="249">
                  <c:v>27.7691606121988</c:v>
                </c:pt>
                <c:pt idx="250">
                  <c:v>27.5799570080665</c:v>
                </c:pt>
                <c:pt idx="251">
                  <c:v>27.3909501547011</c:v>
                </c:pt>
                <c:pt idx="252">
                  <c:v>27.2021557372175</c:v>
                </c:pt>
                <c:pt idx="253">
                  <c:v>27.0135893549975</c:v>
                </c:pt>
                <c:pt idx="254">
                  <c:v>26.825266509438</c:v>
                </c:pt>
                <c:pt idx="255">
                  <c:v>26.6372025894235</c:v>
                </c:pt>
                <c:pt idx="256">
                  <c:v>26.4494128544168</c:v>
                </c:pt>
                <c:pt idx="257">
                  <c:v>26.2619124150759</c:v>
                </c:pt>
                <c:pt idx="258">
                  <c:v>26.0747162113107</c:v>
                </c:pt>
                <c:pt idx="259">
                  <c:v>25.8878389877068</c:v>
                </c:pt>
                <c:pt idx="260">
                  <c:v>25.7012952662561</c:v>
                </c:pt>
                <c:pt idx="261">
                  <c:v>25.5150993163489</c:v>
                </c:pt>
                <c:pt idx="262">
                  <c:v>25.3292651220016</c:v>
                </c:pt>
                <c:pt idx="263">
                  <c:v>25.1438063463117</c:v>
                </c:pt>
                <c:pt idx="264">
                  <c:v>24.9587362931573</c:v>
                </c:pt>
                <c:pt idx="265">
                  <c:v>24.7740678661785</c:v>
                </c:pt>
                <c:pt idx="266">
                  <c:v>24.5898135251113</c:v>
                </c:pt>
                <c:pt idx="267">
                  <c:v>24.4059852395688</c:v>
                </c:pt>
                <c:pt idx="268">
                  <c:v>24.2225944404011</c:v>
                </c:pt>
                <c:pt idx="269">
                  <c:v>24.0396519687962</c:v>
                </c:pt>
                <c:pt idx="270">
                  <c:v>23.8571680233237</c:v>
                </c:pt>
                <c:pt idx="271">
                  <c:v>23.6751521051584</c:v>
                </c:pt>
                <c:pt idx="272">
                  <c:v>23.4936129617636</c:v>
                </c:pt>
                <c:pt idx="273">
                  <c:v>23.3125585293516</c:v>
                </c:pt>
                <c:pt idx="274">
                  <c:v>23.131995874483</c:v>
                </c:pt>
                <c:pt idx="275">
                  <c:v>22.9519311352059</c:v>
                </c:pt>
                <c:pt idx="276">
                  <c:v>22.7723694621771</c:v>
                </c:pt>
                <c:pt idx="277">
                  <c:v>22.5933149602478</c:v>
                </c:pt>
                <c:pt idx="278">
                  <c:v>22.4147706310322</c:v>
                </c:pt>
                <c:pt idx="279">
                  <c:v>22.2367383170121</c:v>
                </c:pt>
                <c:pt idx="280">
                  <c:v>22.0592186477628</c:v>
                </c:pt>
                <c:pt idx="281">
                  <c:v>21.8822109889074</c:v>
                </c:pt>
                <c:pt idx="282">
                  <c:v>21.7057133944328</c:v>
                </c:pt>
                <c:pt idx="283">
                  <c:v>21.5297225630068</c:v>
                </c:pt>
                <c:pt idx="284">
                  <c:v>21.3542337989514</c:v>
                </c:pt>
                <c:pt idx="285">
                  <c:v>21.1792409785145</c:v>
                </c:pt>
                <c:pt idx="286">
                  <c:v>21.0047365220829</c:v>
                </c:pt>
                <c:pt idx="287">
                  <c:v>20.8307113729501</c:v>
                </c:pt>
                <c:pt idx="288">
                  <c:v>20.657154983227</c:v>
                </c:pt>
                <c:pt idx="289">
                  <c:v>20.4840553074423</c:v>
                </c:pt>
                <c:pt idx="290">
                  <c:v>20.3113988043274</c:v>
                </c:pt>
                <c:pt idx="291">
                  <c:v>20.1391704472218</c:v>
                </c:pt>
                <c:pt idx="292">
                  <c:v>19.9673537434598</c:v>
                </c:pt>
                <c:pt idx="293">
                  <c:v>19.7959307630244</c:v>
                </c:pt>
                <c:pt idx="294">
                  <c:v>19.6248821766597</c:v>
                </c:pt>
                <c:pt idx="295">
                  <c:v>19.4541873035414</c:v>
                </c:pt>
                <c:pt idx="296">
                  <c:v>19.2838241684973</c:v>
                </c:pt>
                <c:pt idx="297">
                  <c:v>19.1137695686665</c:v>
                </c:pt>
                <c:pt idx="298">
                  <c:v>18.9439991493723</c:v>
                </c:pt>
                <c:pt idx="299">
                  <c:v>18.7744874888736</c:v>
                </c:pt>
                <c:pt idx="300">
                  <c:v>18.6052081915455</c:v>
                </c:pt>
                <c:pt idx="301">
                  <c:v>18.436133988936</c:v>
                </c:pt>
                <c:pt idx="302">
                  <c:v>18.2672368480374</c:v>
                </c:pt>
                <c:pt idx="303">
                  <c:v>18.0984880860154</c:v>
                </c:pt>
                <c:pt idx="304">
                  <c:v>17.9298584905514</c:v>
                </c:pt>
                <c:pt idx="305">
                  <c:v>17.7613184448765</c:v>
                </c:pt>
                <c:pt idx="306">
                  <c:v>17.5928380565074</c:v>
                </c:pt>
                <c:pt idx="307">
                  <c:v>17.4243872886443</c:v>
                </c:pt>
                <c:pt idx="308">
                  <c:v>17.2559360931535</c:v>
                </c:pt>
                <c:pt idx="309">
                  <c:v>17.0874545440364</c:v>
                </c:pt>
                <c:pt idx="310">
                  <c:v>16.9189129702784</c:v>
                </c:pt>
                <c:pt idx="311">
                  <c:v>16.7502820869826</c:v>
                </c:pt>
                <c:pt idx="312">
                  <c:v>16.5815331237203</c:v>
                </c:pt>
                <c:pt idx="313">
                  <c:v>16.4126379490712</c:v>
                </c:pt>
                <c:pt idx="314">
                  <c:v>16.2435691903787</c:v>
                </c:pt>
                <c:pt idx="315">
                  <c:v>16.0743003478219</c:v>
                </c:pt>
                <c:pt idx="316">
                  <c:v>15.9048059019774</c:v>
                </c:pt>
                <c:pt idx="317">
                  <c:v>15.7350614141439</c:v>
                </c:pt>
                <c:pt idx="318">
                  <c:v>15.5650436187948</c:v>
                </c:pt>
                <c:pt idx="319">
                  <c:v>15.3947305076339</c:v>
                </c:pt>
                <c:pt idx="320">
                  <c:v>15.2241014048356</c:v>
                </c:pt>
                <c:pt idx="321">
                  <c:v>15.0531370331657</c:v>
                </c:pt>
                <c:pt idx="322">
                  <c:v>14.8818195707899</c:v>
                </c:pt>
                <c:pt idx="323">
                  <c:v>14.7101326986853</c:v>
                </c:pt>
                <c:pt idx="324">
                  <c:v>14.5380616386817</c:v>
                </c:pt>
                <c:pt idx="325">
                  <c:v>14.3655931822544</c:v>
                </c:pt>
                <c:pt idx="326">
                  <c:v>14.1927157102934</c:v>
                </c:pt>
                <c:pt idx="327">
                  <c:v>14.0194192041527</c:v>
                </c:pt>
                <c:pt idx="328">
                  <c:v>13.8456952483664</c:v>
                </c:pt>
                <c:pt idx="329">
                  <c:v>13.6715370254878</c:v>
                </c:pt>
                <c:pt idx="330">
                  <c:v>13.4969393035612</c:v>
                </c:pt>
                <c:pt idx="331">
                  <c:v>13.321898416792</c:v>
                </c:pt>
                <c:pt idx="332">
                  <c:v>13.1464122400083</c:v>
                </c:pt>
                <c:pt idx="333">
                  <c:v>12.9704801575472</c:v>
                </c:pt>
                <c:pt idx="334">
                  <c:v>12.7941030272047</c:v>
                </c:pt>
                <c:pt idx="335">
                  <c:v>12.6172831399057</c:v>
                </c:pt>
                <c:pt idx="336">
                  <c:v>12.4400241757449</c:v>
                </c:pt>
                <c:pt idx="337">
                  <c:v>12.262331157042</c:v>
                </c:pt>
                <c:pt idx="338">
                  <c:v>12.0842103990416</c:v>
                </c:pt>
                <c:pt idx="339">
                  <c:v>11.9056694588622</c:v>
                </c:pt>
                <c:pt idx="340">
                  <c:v>11.7267170832744</c:v>
                </c:pt>
                <c:pt idx="341">
                  <c:v>11.5473631558557</c:v>
                </c:pt>
                <c:pt idx="342">
                  <c:v>11.3676186440328</c:v>
                </c:pt>
                <c:pt idx="343">
                  <c:v>11.1874955464863</c:v>
                </c:pt>
                <c:pt idx="344">
                  <c:v>11.0070068413493</c:v>
                </c:pt>
                <c:pt idx="345">
                  <c:v>10.8261664355928</c:v>
                </c:pt>
                <c:pt idx="346">
                  <c:v>10.6449891159478</c:v>
                </c:pt>
                <c:pt idx="347">
                  <c:v>10.4634905016719</c:v>
                </c:pt>
                <c:pt idx="348">
                  <c:v>10.2816869994259</c:v>
                </c:pt>
                <c:pt idx="349">
                  <c:v>10.0995957604884</c:v>
                </c:pt>
                <c:pt idx="350">
                  <c:v>9.91723464049575</c:v>
                </c:pt>
                <c:pt idx="351">
                  <c:v>9.73462216185663</c:v>
                </c:pt>
                <c:pt idx="352">
                  <c:v>9.5517774789582</c:v>
                </c:pt>
                <c:pt idx="353">
                  <c:v>9.36872034624649</c:v>
                </c:pt>
                <c:pt idx="354">
                  <c:v>9.18547108923162</c:v>
                </c:pt>
                <c:pt idx="355">
                  <c:v>9.00205057844427</c:v>
                </c:pt>
                <c:pt idx="356">
                  <c:v>8.8184802063388</c:v>
                </c:pt>
                <c:pt idx="357">
                  <c:v>8.63478186711828</c:v>
                </c:pt>
                <c:pt idx="358">
                  <c:v>8.45097793943481</c:v>
                </c:pt>
                <c:pt idx="359">
                  <c:v>8.26709127189812</c:v>
                </c:pt>
                <c:pt idx="360">
                  <c:v>8.08314517130826</c:v>
                </c:pt>
                <c:pt idx="361">
                  <c:v>7.89916339351448</c:v>
                </c:pt>
                <c:pt idx="362">
                  <c:v>7.7151701367862</c:v>
                </c:pt>
                <c:pt idx="363">
                  <c:v>7.53119003757331</c:v>
                </c:pt>
                <c:pt idx="364">
                  <c:v>7.34724816851695</c:v>
                </c:pt>
                <c:pt idx="365">
                  <c:v>7.1633700385697</c:v>
                </c:pt>
                <c:pt idx="366">
                  <c:v>6.97958159506896</c:v>
                </c:pt>
                <c:pt idx="367">
                  <c:v>6.79590922760334</c:v>
                </c:pt>
                <c:pt idx="368">
                  <c:v>6.61237977350612</c:v>
                </c:pt>
                <c:pt idx="369">
                  <c:v>6.4290205247999</c:v>
                </c:pt>
                <c:pt idx="370">
                  <c:v>6.2458592364164</c:v>
                </c:pt>
                <c:pt idx="371">
                  <c:v>6.06292413550272</c:v>
                </c:pt>
                <c:pt idx="372">
                  <c:v>5.88024393163213</c:v>
                </c:pt>
                <c:pt idx="373">
                  <c:v>5.69784782771831</c:v>
                </c:pt>
                <c:pt idx="374">
                  <c:v>5.51576553144002</c:v>
                </c:pt>
                <c:pt idx="375">
                  <c:v>5.33402726697273</c:v>
                </c:pt>
                <c:pt idx="376">
                  <c:v>5.15266378682025</c:v>
                </c:pt>
                <c:pt idx="377">
                  <c:v>4.97170638353449</c:v>
                </c:pt>
                <c:pt idx="378">
                  <c:v>4.79118690111131</c:v>
                </c:pt>
                <c:pt idx="379">
                  <c:v>4.61113774583862</c:v>
                </c:pt>
                <c:pt idx="380">
                  <c:v>4.43159189637812</c:v>
                </c:pt>
                <c:pt idx="381">
                  <c:v>4.25258291284932</c:v>
                </c:pt>
                <c:pt idx="382">
                  <c:v>4.07414494468756</c:v>
                </c:pt>
                <c:pt idx="383">
                  <c:v>3.89631273703914</c:v>
                </c:pt>
                <c:pt idx="384">
                  <c:v>3.71912163545739</c:v>
                </c:pt>
                <c:pt idx="385">
                  <c:v>3.54260758865941</c:v>
                </c:pt>
                <c:pt idx="386">
                  <c:v>3.36680714910053</c:v>
                </c:pt>
                <c:pt idx="387">
                  <c:v>3.19175747112346</c:v>
                </c:pt>
                <c:pt idx="388">
                  <c:v>3.0174963064403</c:v>
                </c:pt>
                <c:pt idx="389">
                  <c:v>2.84406199670395</c:v>
                </c:pt>
                <c:pt idx="390">
                  <c:v>2.67149346292929</c:v>
                </c:pt>
                <c:pt idx="391">
                  <c:v>2.49983019153044</c:v>
                </c:pt>
                <c:pt idx="392">
                  <c:v>2.32911221674285</c:v>
                </c:pt>
                <c:pt idx="393">
                  <c:v>2.15938009920915</c:v>
                </c:pt>
                <c:pt idx="394">
                  <c:v>1.99067490051819</c:v>
                </c:pt>
                <c:pt idx="395">
                  <c:v>1.82303815349721</c:v>
                </c:pt>
                <c:pt idx="396">
                  <c:v>1.6565118280744</c:v>
                </c:pt>
                <c:pt idx="397">
                  <c:v>1.49113829254675</c:v>
                </c:pt>
                <c:pt idx="398">
                  <c:v>1.32696027010736</c:v>
                </c:pt>
                <c:pt idx="399">
                  <c:v>1.16402079051393</c:v>
                </c:pt>
                <c:pt idx="400">
                  <c:v>1.00236313680387</c:v>
                </c:pt>
                <c:pt idx="401">
                  <c:v>0.842030786996194</c:v>
                </c:pt>
                <c:pt idx="402">
                  <c:v>0.683067350749976</c:v>
                </c:pt>
                <c:pt idx="403">
                  <c:v>0.525516500990528</c:v>
                </c:pt>
                <c:pt idx="404">
                  <c:v>0.369421900552584</c:v>
                </c:pt>
                <c:pt idx="405">
                  <c:v>0.214827123933769</c:v>
                </c:pt>
                <c:pt idx="406">
                  <c:v>0.061775574298442</c:v>
                </c:pt>
                <c:pt idx="407">
                  <c:v>-0.0896896040797422</c:v>
                </c:pt>
                <c:pt idx="408">
                  <c:v>-0.239525617698054</c:v>
                </c:pt>
                <c:pt idx="409">
                  <c:v>-0.387690119735795</c:v>
                </c:pt>
                <c:pt idx="410">
                  <c:v>-0.534141309651768</c:v>
                </c:pt>
                <c:pt idx="411">
                  <c:v>-0.678838036070409</c:v>
                </c:pt>
                <c:pt idx="412">
                  <c:v>-0.821739902504406</c:v>
                </c:pt>
                <c:pt idx="413">
                  <c:v>-0.96280737541111</c:v>
                </c:pt>
                <c:pt idx="414">
                  <c:v>-1.10200189402849</c:v>
                </c:pt>
                <c:pt idx="415">
                  <c:v>-1.23928598139034</c:v>
                </c:pt>
                <c:pt idx="416">
                  <c:v>-1.37462335587613</c:v>
                </c:pt>
                <c:pt idx="417">
                  <c:v>-1.50797904261217</c:v>
                </c:pt>
                <c:pt idx="418">
                  <c:v>-1.63931948400765</c:v>
                </c:pt>
                <c:pt idx="419">
                  <c:v>-1.76861264868132</c:v>
                </c:pt>
                <c:pt idx="420">
                  <c:v>-1.89582813801761</c:v>
                </c:pt>
                <c:pt idx="421">
                  <c:v>-2.02093728957416</c:v>
                </c:pt>
                <c:pt idx="422">
                  <c:v>-2.14391327656457</c:v>
                </c:pt>
                <c:pt idx="423">
                  <c:v>-2.2647312026436</c:v>
                </c:pt>
                <c:pt idx="424">
                  <c:v>-2.38336819123514</c:v>
                </c:pt>
                <c:pt idx="425">
                  <c:v>-2.49980346867372</c:v>
                </c:pt>
                <c:pt idx="426">
                  <c:v>-2.61401844045857</c:v>
                </c:pt>
                <c:pt idx="427">
                  <c:v>-2.72599675996536</c:v>
                </c:pt>
                <c:pt idx="428">
                  <c:v>-2.83572438901612</c:v>
                </c:pt>
                <c:pt idx="429">
                  <c:v>-2.94318964976481</c:v>
                </c:pt>
                <c:pt idx="430">
                  <c:v>-3.04838326742817</c:v>
                </c:pt>
                <c:pt idx="431">
                  <c:v>-3.15129840346659</c:v>
                </c:pt>
                <c:pt idx="432">
                  <c:v>-3.25193067890319</c:v>
                </c:pt>
                <c:pt idx="433">
                  <c:v>-3.35027818755317</c:v>
                </c:pt>
                <c:pt idx="434">
                  <c:v>-3.44634149902882</c:v>
                </c:pt>
                <c:pt idx="435">
                  <c:v>-3.54012365147611</c:v>
                </c:pt>
                <c:pt idx="436">
                  <c:v>-3.63163013409229</c:v>
                </c:pt>
                <c:pt idx="437">
                  <c:v>-3.72086885956517</c:v>
                </c:pt>
                <c:pt idx="438">
                  <c:v>-3.80785012666682</c:v>
                </c:pt>
                <c:pt idx="439">
                  <c:v>-3.892586573317</c:v>
                </c:pt>
                <c:pt idx="440">
                  <c:v>-3.97509312051836</c:v>
                </c:pt>
                <c:pt idx="441">
                  <c:v>-4.05538690763484</c:v>
                </c:pt>
                <c:pt idx="442">
                  <c:v>-4.13348721955961</c:v>
                </c:pt>
                <c:pt idx="443">
                  <c:v>-4.20941540637284</c:v>
                </c:pt>
                <c:pt idx="444">
                  <c:v>-4.2831947961488</c:v>
                </c:pt>
                <c:pt idx="445">
                  <c:v>-4.35485060160683</c:v>
                </c:pt>
                <c:pt idx="446">
                  <c:v>-4.42440982134096</c:v>
                </c:pt>
                <c:pt idx="447">
                  <c:v>-4.49190113638224</c:v>
                </c:pt>
                <c:pt idx="448">
                  <c:v>-4.55735480286459</c:v>
                </c:pt>
                <c:pt idx="449">
                  <c:v>-4.62080254156833</c:v>
                </c:pt>
                <c:pt idx="450">
                  <c:v>-4.68227742511183</c:v>
                </c:pt>
                <c:pt idx="451">
                  <c:v>-4.74181376355109</c:v>
                </c:pt>
                <c:pt idx="452">
                  <c:v>-4.79944698912238</c:v>
                </c:pt>
                <c:pt idx="453">
                  <c:v>-4.85521354084074</c:v>
                </c:pt>
                <c:pt idx="454">
                  <c:v>-4.9091507496297</c:v>
                </c:pt>
                <c:pt idx="455">
                  <c:v>-4.96129672462054</c:v>
                </c:pt>
                <c:pt idx="456">
                  <c:v>-5.01169024121361</c:v>
                </c:pt>
                <c:pt idx="457">
                  <c:v>-5.06037063145017</c:v>
                </c:pt>
                <c:pt idx="458">
                  <c:v>-5.10737767718981</c:v>
                </c:pt>
                <c:pt idx="459">
                  <c:v>-5.15275150653989</c:v>
                </c:pt>
                <c:pt idx="460">
                  <c:v>-5.19653249392735</c:v>
                </c:pt>
                <c:pt idx="461">
                  <c:v>-5.238761164154</c:v>
                </c:pt>
                <c:pt idx="462">
                  <c:v>-5.27947810072011</c:v>
                </c:pt>
                <c:pt idx="463">
                  <c:v>-5.31872385865249</c:v>
                </c:pt>
                <c:pt idx="464">
                  <c:v>-5.3565388820219</c:v>
                </c:pt>
                <c:pt idx="465">
                  <c:v>-5.39296342628876</c:v>
                </c:pt>
                <c:pt idx="466">
                  <c:v>-5.42803748556768</c:v>
                </c:pt>
                <c:pt idx="467">
                  <c:v>-5.4618007248643</c:v>
                </c:pt>
                <c:pt idx="468">
                  <c:v>-5.49429241729357</c:v>
                </c:pt>
                <c:pt idx="469">
                  <c:v>-5.52555138625703</c:v>
                </c:pt>
                <c:pt idx="470">
                  <c:v>-5.55561595252098</c:v>
                </c:pt>
                <c:pt idx="471">
                  <c:v>-5.58452388611217</c:v>
                </c:pt>
                <c:pt idx="472">
                  <c:v>-5.61231236291724</c:v>
                </c:pt>
                <c:pt idx="473">
                  <c:v>-5.63901792585504</c:v>
                </c:pt>
                <c:pt idx="474">
                  <c:v>-5.66467645046947</c:v>
                </c:pt>
                <c:pt idx="475">
                  <c:v>-5.6893231147722</c:v>
                </c:pt>
                <c:pt idx="476">
                  <c:v>-5.71299237315889</c:v>
                </c:pt>
                <c:pt idx="477">
                  <c:v>-5.73571793420441</c:v>
                </c:pt>
                <c:pt idx="478">
                  <c:v>-5.75753274214054</c:v>
                </c:pt>
                <c:pt idx="479">
                  <c:v>-5.77846896181266</c:v>
                </c:pt>
                <c:pt idx="480">
                  <c:v>-5.79855796690811</c:v>
                </c:pt>
                <c:pt idx="481">
                  <c:v>-5.81783033125024</c:v>
                </c:pt>
                <c:pt idx="482">
                  <c:v>-5.83631582295071</c:v>
                </c:pt>
                <c:pt idx="483">
                  <c:v>-5.85404340121504</c:v>
                </c:pt>
                <c:pt idx="484">
                  <c:v>-5.87104121560347</c:v>
                </c:pt>
                <c:pt idx="485">
                  <c:v>-5.88733660754654</c:v>
                </c:pt>
                <c:pt idx="486">
                  <c:v>-5.90295611393042</c:v>
                </c:pt>
                <c:pt idx="487">
                  <c:v>-5.91792547256318</c:v>
                </c:pt>
                <c:pt idx="488">
                  <c:v>-5.93226962934945</c:v>
                </c:pt>
                <c:pt idx="489">
                  <c:v>-5.94601274700096</c:v>
                </c:pt>
                <c:pt idx="490">
                  <c:v>-5.95917821512514</c:v>
                </c:pt>
                <c:pt idx="491">
                  <c:v>-5.97178866153592</c:v>
                </c:pt>
                <c:pt idx="492">
                  <c:v>-5.98386596464486</c:v>
                </c:pt>
                <c:pt idx="493">
                  <c:v>-5.99543126679442</c:v>
                </c:pt>
                <c:pt idx="494">
                  <c:v>-6.00650498840788</c:v>
                </c:pt>
                <c:pt idx="495">
                  <c:v>-6.01710684283571</c:v>
                </c:pt>
                <c:pt idx="496">
                  <c:v>-6.02725585178665</c:v>
                </c:pt>
                <c:pt idx="497">
                  <c:v>-6.0369703612422</c:v>
                </c:pt>
                <c:pt idx="498">
                  <c:v>-6.0462680577583</c:v>
                </c:pt>
                <c:pt idx="499">
                  <c:v>-6.05516598506632</c:v>
                </c:pt>
                <c:pt idx="500">
                  <c:v>-6.06368056089363</c:v>
                </c:pt>
                <c:pt idx="501">
                  <c:v>-6.07182759392953</c:v>
                </c:pt>
                <c:pt idx="502">
                  <c:v>-6.07962230086946</c:v>
                </c:pt>
                <c:pt idx="503">
                  <c:v>-6.0870793234772</c:v>
                </c:pt>
                <c:pt idx="504">
                  <c:v>-6.09421274560997</c:v>
                </c:pt>
                <c:pt idx="505">
                  <c:v>-6.1010361101562</c:v>
                </c:pt>
                <c:pt idx="506">
                  <c:v>-6.10756243584292</c:v>
                </c:pt>
                <c:pt idx="507">
                  <c:v>-6.11380423387336</c:v>
                </c:pt>
                <c:pt idx="508">
                  <c:v>-6.11977352435905</c:v>
                </c:pt>
                <c:pt idx="509">
                  <c:v>-6.12548185251697</c:v>
                </c:pt>
                <c:pt idx="510">
                  <c:v>-6.13094030460436</c:v>
                </c:pt>
                <c:pt idx="511">
                  <c:v>-6.13615952356896</c:v>
                </c:pt>
                <c:pt idx="512">
                  <c:v>-6.14114972439469</c:v>
                </c:pt>
                <c:pt idx="513">
                  <c:v>-6.14592070912579</c:v>
                </c:pt>
                <c:pt idx="514">
                  <c:v>-6.1504818815563</c:v>
                </c:pt>
                <c:pt idx="515">
                  <c:v>-6.15484226157413</c:v>
                </c:pt>
                <c:pt idx="516">
                  <c:v>-6.15901049914937</c:v>
                </c:pt>
                <c:pt idx="517">
                  <c:v>-6.1629948879624</c:v>
                </c:pt>
                <c:pt idx="518">
                  <c:v>-6.16680337866478</c:v>
                </c:pt>
                <c:pt idx="519">
                  <c:v>-6.17044359177123</c:v>
                </c:pt>
                <c:pt idx="520">
                  <c:v>-6.17392283018224</c:v>
                </c:pt>
                <c:pt idx="521">
                  <c:v>-6.1772480913343</c:v>
                </c:pt>
                <c:pt idx="522">
                  <c:v>-6.18042607898233</c:v>
                </c:pt>
                <c:pt idx="523">
                  <c:v>-6.18346321461474</c:v>
                </c:pt>
                <c:pt idx="524">
                  <c:v>-6.1863656485042</c:v>
                </c:pt>
                <c:pt idx="525">
                  <c:v>-6.18913927040059</c:v>
                </c:pt>
                <c:pt idx="526">
                  <c:v>-6.19178971986772</c:v>
                </c:pt>
                <c:pt idx="527">
                  <c:v>-6.19432239627299</c:v>
                </c:pt>
                <c:pt idx="528">
                  <c:v>-6.1967424684327</c:v>
                </c:pt>
                <c:pt idx="529">
                  <c:v>-6.19905488392269</c:v>
                </c:pt>
                <c:pt idx="530">
                  <c:v>-6.20126437805941</c:v>
                </c:pt>
                <c:pt idx="531">
                  <c:v>-6.20337548255894</c:v>
                </c:pt>
                <c:pt idx="532">
                  <c:v>-6.20539253388306</c:v>
                </c:pt>
                <c:pt idx="533">
                  <c:v>-6.20731968127855</c:v>
                </c:pt>
                <c:pt idx="534">
                  <c:v>-6.20916089451748</c:v>
                </c:pt>
                <c:pt idx="535">
                  <c:v>-6.21091997134984</c:v>
                </c:pt>
                <c:pt idx="536">
                  <c:v>-6.21260054467103</c:v>
                </c:pt>
                <c:pt idx="537">
                  <c:v>-6.21420608941846</c:v>
                </c:pt>
                <c:pt idx="538">
                  <c:v>-6.21573992920059</c:v>
                </c:pt>
                <c:pt idx="539">
                  <c:v>-6.21720524267046</c:v>
                </c:pt>
                <c:pt idx="540">
                  <c:v>-6.2186050696484</c:v>
                </c:pt>
                <c:pt idx="541">
                  <c:v>-6.21994231700433</c:v>
                </c:pt>
              </c:numCache>
            </c:numRef>
          </c:yVal>
          <c:smooth val="1"/>
        </c:ser>
        <c:dLbls>
          <c:showLegendKey val="0"/>
          <c:showVal val="0"/>
          <c:showCatName val="0"/>
          <c:showSerName val="0"/>
          <c:showPercent val="0"/>
          <c:showBubbleSize val="0"/>
        </c:dLbls>
        <c:axId val="178901376"/>
        <c:axId val="178903296"/>
      </c:scatterChart>
      <c:scatterChart>
        <c:scatterStyle val="smooth"/>
        <c:varyColors val="0"/>
        <c:ser>
          <c:idx val="1"/>
          <c:order val="1"/>
          <c:spPr>
            <a:ln w="38100" cap="rnd" cmpd="sng" algn="ctr">
              <a:solidFill>
                <a:schemeClr val="tx1">
                  <a:lumMod val="95000"/>
                  <a:lumOff val="5000"/>
                </a:schemeClr>
              </a:solidFill>
              <a:prstDash val="sysDash"/>
              <a:round/>
            </a:ln>
          </c:spPr>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Loop_Modeling!$BK$19:$BK$560</c:f>
              <c:numCache>
                <c:formatCode>General</c:formatCode>
                <c:ptCount val="542"/>
                <c:pt idx="0">
                  <c:v>90.8237626254097</c:v>
                </c:pt>
                <c:pt idx="1">
                  <c:v>90.8429186176765</c:v>
                </c:pt>
                <c:pt idx="2">
                  <c:v>90.8625185314628</c:v>
                </c:pt>
                <c:pt idx="3">
                  <c:v>90.8825725444007</c:v>
                </c:pt>
                <c:pt idx="4">
                  <c:v>90.9030910596021</c:v>
                </c:pt>
                <c:pt idx="5">
                  <c:v>90.9240847100868</c:v>
                </c:pt>
                <c:pt idx="6">
                  <c:v>90.9455643632564</c:v>
                </c:pt>
                <c:pt idx="7">
                  <c:v>90.9675411254094</c:v>
                </c:pt>
                <c:pt idx="8">
                  <c:v>90.9900263462951</c:v>
                </c:pt>
                <c:pt idx="9">
                  <c:v>91.0130316237019</c:v>
                </c:pt>
                <c:pt idx="10">
                  <c:v>91.0365688080766</c:v>
                </c:pt>
                <c:pt idx="11">
                  <c:v>91.0606500071687</c:v>
                </c:pt>
                <c:pt idx="12">
                  <c:v>91.0852875906965</c:v>
                </c:pt>
                <c:pt idx="13">
                  <c:v>91.1104941950275</c:v>
                </c:pt>
                <c:pt idx="14">
                  <c:v>91.1362827278677</c:v>
                </c:pt>
                <c:pt idx="15">
                  <c:v>91.1626663729543</c:v>
                </c:pt>
                <c:pt idx="16">
                  <c:v>91.1896585947418</c:v>
                </c:pt>
                <c:pt idx="17">
                  <c:v>91.2172731430756</c:v>
                </c:pt>
                <c:pt idx="18">
                  <c:v>91.2455240578435</c:v>
                </c:pt>
                <c:pt idx="19">
                  <c:v>91.2744256735953</c:v>
                </c:pt>
                <c:pt idx="20">
                  <c:v>91.3039926241211</c:v>
                </c:pt>
                <c:pt idx="21">
                  <c:v>91.3342398469754</c:v>
                </c:pt>
                <c:pt idx="22">
                  <c:v>91.3651825879362</c:v>
                </c:pt>
                <c:pt idx="23">
                  <c:v>91.3968364053855</c:v>
                </c:pt>
                <c:pt idx="24">
                  <c:v>91.4292171745955</c:v>
                </c:pt>
                <c:pt idx="25">
                  <c:v>91.4623410919077</c:v>
                </c:pt>
                <c:pt idx="26">
                  <c:v>91.4962246787853</c:v>
                </c:pt>
                <c:pt idx="27">
                  <c:v>91.5308847857221</c:v>
                </c:pt>
                <c:pt idx="28">
                  <c:v>91.566338595989</c:v>
                </c:pt>
                <c:pt idx="29">
                  <c:v>91.6026036291956</c:v>
                </c:pt>
                <c:pt idx="30">
                  <c:v>91.6396977446454</c:v>
                </c:pt>
                <c:pt idx="31">
                  <c:v>91.6776391444596</c:v>
                </c:pt>
                <c:pt idx="32">
                  <c:v>91.7164463764438</c:v>
                </c:pt>
                <c:pt idx="33">
                  <c:v>91.756138336669</c:v>
                </c:pt>
                <c:pt idx="34">
                  <c:v>91.796734271737</c:v>
                </c:pt>
                <c:pt idx="35">
                  <c:v>91.8382537806982</c:v>
                </c:pt>
                <c:pt idx="36">
                  <c:v>91.8807168165861</c:v>
                </c:pt>
                <c:pt idx="37">
                  <c:v>91.9241436875321</c:v>
                </c:pt>
                <c:pt idx="38">
                  <c:v>91.968555057421</c:v>
                </c:pt>
                <c:pt idx="39">
                  <c:v>92.0139719460438</c:v>
                </c:pt>
                <c:pt idx="40">
                  <c:v>92.0604157287034</c:v>
                </c:pt>
                <c:pt idx="41">
                  <c:v>92.1079081352237</c:v>
                </c:pt>
                <c:pt idx="42">
                  <c:v>92.1564712483108</c:v>
                </c:pt>
                <c:pt idx="43">
                  <c:v>92.2061275012112</c:v>
                </c:pt>
                <c:pt idx="44">
                  <c:v>92.2568996746076</c:v>
                </c:pt>
                <c:pt idx="45">
                  <c:v>92.3088108926898</c:v>
                </c:pt>
                <c:pt idx="46">
                  <c:v>92.3618846183342</c:v>
                </c:pt>
                <c:pt idx="47">
                  <c:v>92.4161446473203</c:v>
                </c:pt>
                <c:pt idx="48">
                  <c:v>92.4716151015102</c:v>
                </c:pt>
                <c:pt idx="49">
                  <c:v>92.5283204209092</c:v>
                </c:pt>
                <c:pt idx="50">
                  <c:v>92.5862853545242</c:v>
                </c:pt>
                <c:pt idx="51">
                  <c:v>92.6455349499287</c:v>
                </c:pt>
                <c:pt idx="52">
                  <c:v>92.7060945414415</c:v>
                </c:pt>
                <c:pt idx="53">
                  <c:v>92.7679897368144</c:v>
                </c:pt>
                <c:pt idx="54">
                  <c:v>92.8312464023276</c:v>
                </c:pt>
                <c:pt idx="55">
                  <c:v>92.8958906461758</c:v>
                </c:pt>
                <c:pt idx="56">
                  <c:v>92.9619488000305</c:v>
                </c:pt>
                <c:pt idx="57">
                  <c:v>93.0294473986507</c:v>
                </c:pt>
                <c:pt idx="58">
                  <c:v>93.0984131574145</c:v>
                </c:pt>
                <c:pt idx="59">
                  <c:v>93.1688729476297</c:v>
                </c:pt>
                <c:pt idx="60">
                  <c:v>93.2408537694833</c:v>
                </c:pt>
                <c:pt idx="61">
                  <c:v>93.3143827224761</c:v>
                </c:pt>
                <c:pt idx="62">
                  <c:v>93.3894869731855</c:v>
                </c:pt>
                <c:pt idx="63">
                  <c:v>93.466193720191</c:v>
                </c:pt>
                <c:pt idx="64">
                  <c:v>93.5445301559912</c:v>
                </c:pt>
                <c:pt idx="65">
                  <c:v>93.6245234257333</c:v>
                </c:pt>
                <c:pt idx="66">
                  <c:v>93.7062005825702</c:v>
                </c:pt>
                <c:pt idx="67">
                  <c:v>93.7895885394517</c:v>
                </c:pt>
                <c:pt idx="68">
                  <c:v>93.874714017155</c:v>
                </c:pt>
                <c:pt idx="69">
                  <c:v>93.961603488346</c:v>
                </c:pt>
                <c:pt idx="70">
                  <c:v>94.0502831174663</c:v>
                </c:pt>
                <c:pt idx="71">
                  <c:v>94.1407786962275</c:v>
                </c:pt>
                <c:pt idx="72">
                  <c:v>94.2331155744982</c:v>
                </c:pt>
                <c:pt idx="73">
                  <c:v>94.3273185863568</c:v>
                </c:pt>
                <c:pt idx="74">
                  <c:v>94.4234119710907</c:v>
                </c:pt>
                <c:pt idx="75">
                  <c:v>94.521419288912</c:v>
                </c:pt>
                <c:pt idx="76">
                  <c:v>94.6213633311663</c:v>
                </c:pt>
                <c:pt idx="77">
                  <c:v>94.7232660248086</c:v>
                </c:pt>
                <c:pt idx="78">
                  <c:v>94.8271483309265</c:v>
                </c:pt>
                <c:pt idx="79">
                  <c:v>94.9330301370943</c:v>
                </c:pt>
                <c:pt idx="80">
                  <c:v>95.0409301433488</c:v>
                </c:pt>
                <c:pt idx="81">
                  <c:v>95.150865741589</c:v>
                </c:pt>
                <c:pt idx="82">
                  <c:v>95.2628528882138</c:v>
                </c:pt>
                <c:pt idx="83">
                  <c:v>95.3769059698263</c:v>
                </c:pt>
                <c:pt idx="84">
                  <c:v>95.4930376618544</c:v>
                </c:pt>
                <c:pt idx="85">
                  <c:v>95.6112587799602</c:v>
                </c:pt>
                <c:pt idx="86">
                  <c:v>95.731578124134</c:v>
                </c:pt>
                <c:pt idx="87">
                  <c:v>95.8540023154067</c:v>
                </c:pt>
                <c:pt idx="88">
                  <c:v>95.9785356251436</c:v>
                </c:pt>
                <c:pt idx="89">
                  <c:v>96.1051797969294</c:v>
                </c:pt>
                <c:pt idx="90">
                  <c:v>96.2339338610966</c:v>
                </c:pt>
                <c:pt idx="91">
                  <c:v>96.3647939420082</c:v>
                </c:pt>
                <c:pt idx="92">
                  <c:v>96.4977530582568</c:v>
                </c:pt>
                <c:pt idx="93">
                  <c:v>96.6328009160163</c:v>
                </c:pt>
                <c:pt idx="94">
                  <c:v>96.7699236958479</c:v>
                </c:pt>
                <c:pt idx="95">
                  <c:v>96.9091038333467</c:v>
                </c:pt>
                <c:pt idx="96">
                  <c:v>97.0503197940997</c:v>
                </c:pt>
                <c:pt idx="97">
                  <c:v>97.1935458435212</c:v>
                </c:pt>
                <c:pt idx="98">
                  <c:v>97.3387518122335</c:v>
                </c:pt>
                <c:pt idx="99">
                  <c:v>97.4859028577706</c:v>
                </c:pt>
                <c:pt idx="100">
                  <c:v>97.6349592234986</c:v>
                </c:pt>
                <c:pt idx="101">
                  <c:v>97.7858759957719</c:v>
                </c:pt>
                <c:pt idx="102">
                  <c:v>97.9386028604722</c:v>
                </c:pt>
                <c:pt idx="103">
                  <c:v>98.0930838602166</c:v>
                </c:pt>
                <c:pt idx="104">
                  <c:v>98.2492571536595</c:v>
                </c:pt>
                <c:pt idx="105">
                  <c:v>98.4070547784629</c:v>
                </c:pt>
                <c:pt idx="106">
                  <c:v>98.5664024196541</c:v>
                </c:pt>
                <c:pt idx="107">
                  <c:v>98.7272191852444</c:v>
                </c:pt>
                <c:pt idx="108">
                  <c:v>98.889417391129</c:v>
                </c:pt>
                <c:pt idx="109">
                  <c:v>99.0529023574412</c:v>
                </c:pt>
                <c:pt idx="110">
                  <c:v>99.217572218674</c:v>
                </c:pt>
                <c:pt idx="111">
                  <c:v>99.3833177500228</c:v>
                </c:pt>
                <c:pt idx="112">
                  <c:v>99.5500222125309</c:v>
                </c:pt>
                <c:pt idx="113">
                  <c:v>99.7175612197336</c:v>
                </c:pt>
                <c:pt idx="114">
                  <c:v>99.8858026286026</c:v>
                </c:pt>
                <c:pt idx="115">
                  <c:v>100.054606457667</c:v>
                </c:pt>
                <c:pt idx="116">
                  <c:v>100.223824835253</c:v>
                </c:pt>
                <c:pt idx="117">
                  <c:v>100.393301980822</c:v>
                </c:pt>
                <c:pt idx="118">
                  <c:v>100.562874222379</c:v>
                </c:pt>
                <c:pt idx="119">
                  <c:v>100.732370052899</c:v>
                </c:pt>
                <c:pt idx="120">
                  <c:v>100.901610228678</c:v>
                </c:pt>
                <c:pt idx="121">
                  <c:v>101.070407912358</c:v>
                </c:pt>
                <c:pt idx="122">
                  <c:v>101.238568863287</c:v>
                </c:pt>
                <c:pt idx="123">
                  <c:v>101.405891677631</c:v>
                </c:pt>
                <c:pt idx="124">
                  <c:v>101.572168080456</c:v>
                </c:pt>
                <c:pt idx="125">
                  <c:v>101.737183271663</c:v>
                </c:pt>
                <c:pt idx="126">
                  <c:v>101.900716327355</c:v>
                </c:pt>
                <c:pt idx="127">
                  <c:v>102.062540657803</c:v>
                </c:pt>
                <c:pt idx="128">
                  <c:v>102.222424522746</c:v>
                </c:pt>
                <c:pt idx="129">
                  <c:v>102.38013160425</c:v>
                </c:pt>
                <c:pt idx="130">
                  <c:v>102.535421636854</c:v>
                </c:pt>
                <c:pt idx="131">
                  <c:v>102.688051094118</c:v>
                </c:pt>
                <c:pt idx="132">
                  <c:v>102.837773930095</c:v>
                </c:pt>
                <c:pt idx="133">
                  <c:v>102.984342373619</c:v>
                </c:pt>
                <c:pt idx="134">
                  <c:v>103.127507772613</c:v>
                </c:pt>
                <c:pt idx="135">
                  <c:v>103.267021484976</c:v>
                </c:pt>
                <c:pt idx="136">
                  <c:v>103.402635811895</c:v>
                </c:pt>
                <c:pt idx="137">
                  <c:v>103.534104968807</c:v>
                </c:pt>
                <c:pt idx="138">
                  <c:v>103.661186088514</c:v>
                </c:pt>
                <c:pt idx="139">
                  <c:v>103.783640250399</c:v>
                </c:pt>
                <c:pt idx="140">
                  <c:v>103.901233529045</c:v>
                </c:pt>
                <c:pt idx="141">
                  <c:v>104.013738055086</c:v>
                </c:pt>
                <c:pt idx="142">
                  <c:v>104.120933080582</c:v>
                </c:pt>
                <c:pt idx="143">
                  <c:v>104.222606040895</c:v>
                </c:pt>
                <c:pt idx="144">
                  <c:v>104.318553604666</c:v>
                </c:pt>
                <c:pt idx="145">
                  <c:v>104.408582703318</c:v>
                </c:pt>
                <c:pt idx="146">
                  <c:v>104.492511531395</c:v>
                </c:pt>
                <c:pt idx="147">
                  <c:v>104.570170509021</c:v>
                </c:pt>
                <c:pt idx="148">
                  <c:v>104.641403197892</c:v>
                </c:pt>
                <c:pt idx="149">
                  <c:v>104.70606716243</c:v>
                </c:pt>
                <c:pt idx="150">
                  <c:v>104.764034768062</c:v>
                </c:pt>
                <c:pt idx="151">
                  <c:v>104.815193909043</c:v>
                </c:pt>
                <c:pt idx="152">
                  <c:v>104.859448658789</c:v>
                </c:pt>
                <c:pt idx="153">
                  <c:v>104.89671983637</c:v>
                </c:pt>
                <c:pt idx="154">
                  <c:v>104.926945483553</c:v>
                </c:pt>
                <c:pt idx="155">
                  <c:v>104.950081247627</c:v>
                </c:pt>
                <c:pt idx="156">
                  <c:v>104.966100666167</c:v>
                </c:pt>
                <c:pt idx="157">
                  <c:v>104.974995350866</c:v>
                </c:pt>
                <c:pt idx="158">
                  <c:v>104.976775068563</c:v>
                </c:pt>
                <c:pt idx="159">
                  <c:v>104.971467718681</c:v>
                </c:pt>
                <c:pt idx="160">
                  <c:v>104.959119207295</c:v>
                </c:pt>
                <c:pt idx="161">
                  <c:v>104.939793219162</c:v>
                </c:pt>
                <c:pt idx="162">
                  <c:v>104.913570890041</c:v>
                </c:pt>
                <c:pt idx="163">
                  <c:v>104.880550382643</c:v>
                </c:pt>
                <c:pt idx="164">
                  <c:v>104.840846370495</c:v>
                </c:pt>
                <c:pt idx="165">
                  <c:v>104.794589434893</c:v>
                </c:pt>
                <c:pt idx="166">
                  <c:v>104.741925380914</c:v>
                </c:pt>
                <c:pt idx="167">
                  <c:v>104.683014479157</c:v>
                </c:pt>
                <c:pt idx="168">
                  <c:v>104.618030640534</c:v>
                </c:pt>
                <c:pt idx="169">
                  <c:v>104.547160531891</c:v>
                </c:pt>
                <c:pt idx="170">
                  <c:v>104.470602640687</c:v>
                </c:pt>
                <c:pt idx="171">
                  <c:v>104.38856629719</c:v>
                </c:pt>
                <c:pt idx="172">
                  <c:v>104.301270662864</c:v>
                </c:pt>
                <c:pt idx="173">
                  <c:v>104.208943693643</c:v>
                </c:pt>
                <c:pt idx="174">
                  <c:v>104.111821086728</c:v>
                </c:pt>
                <c:pt idx="175">
                  <c:v>104.010145219426</c:v>
                </c:pt>
                <c:pt idx="176">
                  <c:v>103.904164088208</c:v>
                </c:pt>
                <c:pt idx="177">
                  <c:v>103.794130255917</c:v>
                </c:pt>
                <c:pt idx="178">
                  <c:v>103.680299814515</c:v>
                </c:pt>
                <c:pt idx="179">
                  <c:v>103.562931370356</c:v>
                </c:pt>
                <c:pt idx="180">
                  <c:v>103.442285058345</c:v>
                </c:pt>
                <c:pt idx="181">
                  <c:v>103.318621590763</c:v>
                </c:pt>
                <c:pt idx="182">
                  <c:v>103.19220134591</c:v>
                </c:pt>
                <c:pt idx="183">
                  <c:v>103.06328350101</c:v>
                </c:pt>
                <c:pt idx="184">
                  <c:v>102.932125213207</c:v>
                </c:pt>
                <c:pt idx="185">
                  <c:v>102.798980851727</c:v>
                </c:pt>
                <c:pt idx="186">
                  <c:v>102.664101283685</c:v>
                </c:pt>
                <c:pt idx="187">
                  <c:v>102.527733215304</c:v>
                </c:pt>
                <c:pt idx="188">
                  <c:v>102.390118589724</c:v>
                </c:pt>
                <c:pt idx="189">
                  <c:v>102.251494041945</c:v>
                </c:pt>
                <c:pt idx="190">
                  <c:v>102.112090410939</c:v>
                </c:pt>
                <c:pt idx="191">
                  <c:v>101.972132308401</c:v>
                </c:pt>
                <c:pt idx="192">
                  <c:v>101.831837743182</c:v>
                </c:pt>
                <c:pt idx="193">
                  <c:v>101.691417799979</c:v>
                </c:pt>
                <c:pt idx="194">
                  <c:v>101.551076370555</c:v>
                </c:pt>
                <c:pt idx="195">
                  <c:v>101.411009935364</c:v>
                </c:pt>
                <c:pt idx="196">
                  <c:v>101.271407393244</c:v>
                </c:pt>
                <c:pt idx="197">
                  <c:v>101.132449936602</c:v>
                </c:pt>
                <c:pt idx="198">
                  <c:v>100.994310969321</c:v>
                </c:pt>
                <c:pt idx="199">
                  <c:v>100.857156064529</c:v>
                </c:pt>
                <c:pt idx="200">
                  <c:v>100.721142959239</c:v>
                </c:pt>
                <c:pt idx="201">
                  <c:v>100.586421582849</c:v>
                </c:pt>
                <c:pt idx="202">
                  <c:v>100.453134116467</c:v>
                </c:pt>
                <c:pt idx="203">
                  <c:v>100.321415080026</c:v>
                </c:pt>
                <c:pt idx="204">
                  <c:v>100.19139144423</c:v>
                </c:pt>
                <c:pt idx="205">
                  <c:v>100.063182764405</c:v>
                </c:pt>
                <c:pt idx="206">
                  <c:v>99.9369013334431</c:v>
                </c:pt>
                <c:pt idx="207">
                  <c:v>99.8126523511121</c:v>
                </c:pt>
                <c:pt idx="208">
                  <c:v>99.6905341071415</c:v>
                </c:pt>
                <c:pt idx="209">
                  <c:v>99.5706381756042</c:v>
                </c:pt>
                <c:pt idx="210">
                  <c:v>99.453049618269</c:v>
                </c:pt>
                <c:pt idx="211">
                  <c:v>99.3378471947264</c:v>
                </c:pt>
                <c:pt idx="212">
                  <c:v>99.2251035772459</c:v>
                </c:pt>
                <c:pt idx="213">
                  <c:v>99.1148855684633</c:v>
                </c:pt>
                <c:pt idx="214">
                  <c:v>99.0072543201445</c:v>
                </c:pt>
                <c:pt idx="215">
                  <c:v>98.9022655514131</c:v>
                </c:pt>
                <c:pt idx="216">
                  <c:v>98.7999697649732</c:v>
                </c:pt>
                <c:pt idx="217">
                  <c:v>98.700412459986</c:v>
                </c:pt>
                <c:pt idx="218">
                  <c:v>98.6036343403968</c:v>
                </c:pt>
                <c:pt idx="219">
                  <c:v>98.5096715176247</c:v>
                </c:pt>
                <c:pt idx="220">
                  <c:v>98.4185557066483</c:v>
                </c:pt>
                <c:pt idx="221">
                  <c:v>98.3303144146259</c:v>
                </c:pt>
                <c:pt idx="222">
                  <c:v>98.2449711212982</c:v>
                </c:pt>
                <c:pt idx="223">
                  <c:v>98.1625454505062</c:v>
                </c:pt>
                <c:pt idx="224">
                  <c:v>98.0830533322565</c:v>
                </c:pt>
                <c:pt idx="225">
                  <c:v>98.0065071548373</c:v>
                </c:pt>
                <c:pt idx="226">
                  <c:v>97.9329159065728</c:v>
                </c:pt>
                <c:pt idx="227">
                  <c:v>97.8622853068612</c:v>
                </c:pt>
                <c:pt idx="228">
                  <c:v>97.7946179262156</c:v>
                </c:pt>
                <c:pt idx="229">
                  <c:v>97.7299132950738</c:v>
                </c:pt>
                <c:pt idx="230">
                  <c:v>97.6681680012052</c:v>
                </c:pt>
                <c:pt idx="231">
                  <c:v>97.60937577558</c:v>
                </c:pt>
                <c:pt idx="232">
                  <c:v>97.5535275666185</c:v>
                </c:pt>
                <c:pt idx="233">
                  <c:v>97.5006116027763</c:v>
                </c:pt>
                <c:pt idx="234">
                  <c:v>97.450613443456</c:v>
                </c:pt>
                <c:pt idx="235">
                  <c:v>97.4035160182751</c:v>
                </c:pt>
                <c:pt idx="236">
                  <c:v>97.3592996547534</c:v>
                </c:pt>
                <c:pt idx="237">
                  <c:v>97.3179420945142</c:v>
                </c:pt>
                <c:pt idx="238">
                  <c:v>97.2794184981261</c:v>
                </c:pt>
                <c:pt idx="239">
                  <c:v>97.24370143875</c:v>
                </c:pt>
                <c:pt idx="240">
                  <c:v>97.2107608847795</c:v>
                </c:pt>
                <c:pt idx="241">
                  <c:v>97.1805641717083</c:v>
                </c:pt>
                <c:pt idx="242">
                  <c:v>97.1530759634841</c:v>
                </c:pt>
                <c:pt idx="243">
                  <c:v>97.1282582036556</c:v>
                </c:pt>
                <c:pt idx="244">
                  <c:v>97.1060700566535</c:v>
                </c:pt>
                <c:pt idx="245">
                  <c:v>97.0864678395969</c:v>
                </c:pt>
                <c:pt idx="246">
                  <c:v>97.0694049450569</c:v>
                </c:pt>
                <c:pt idx="247">
                  <c:v>97.0548317552688</c:v>
                </c:pt>
                <c:pt idx="248">
                  <c:v>97.0426955483345</c:v>
                </c:pt>
                <c:pt idx="249">
                  <c:v>97.0329403970207</c:v>
                </c:pt>
                <c:pt idx="250">
                  <c:v>97.0255070608195</c:v>
                </c:pt>
                <c:pt idx="251">
                  <c:v>97.0203328720147</c:v>
                </c:pt>
                <c:pt idx="252">
                  <c:v>97.0173516165653</c:v>
                </c:pt>
                <c:pt idx="253">
                  <c:v>97.0164934106996</c:v>
                </c:pt>
                <c:pt idx="254">
                  <c:v>97.0176845741973</c:v>
                </c:pt>
                <c:pt idx="255">
                  <c:v>97.0208475014291</c:v>
                </c:pt>
                <c:pt idx="256">
                  <c:v>97.0259005313056</c:v>
                </c:pt>
                <c:pt idx="257">
                  <c:v>97.0327578173922</c:v>
                </c:pt>
                <c:pt idx="258">
                  <c:v>97.0413291995403</c:v>
                </c:pt>
                <c:pt idx="259">
                  <c:v>97.0515200784806</c:v>
                </c:pt>
                <c:pt idx="260">
                  <c:v>97.0632312949304</c:v>
                </c:pt>
                <c:pt idx="261">
                  <c:v>97.0763590148565</c:v>
                </c:pt>
                <c:pt idx="262">
                  <c:v>97.0907946226374</c:v>
                </c:pt>
                <c:pt idx="263">
                  <c:v>97.1064246239565</c:v>
                </c:pt>
                <c:pt idx="264">
                  <c:v>97.1231305603372</c:v>
                </c:pt>
                <c:pt idx="265">
                  <c:v>97.1407889373178</c:v>
                </c:pt>
                <c:pt idx="266">
                  <c:v>97.1592711683162</c:v>
                </c:pt>
                <c:pt idx="267">
                  <c:v>97.1784435362961</c:v>
                </c:pt>
                <c:pt idx="268">
                  <c:v>97.198167175372</c:v>
                </c:pt>
                <c:pt idx="269">
                  <c:v>97.2182980745155</c:v>
                </c:pt>
                <c:pt idx="270">
                  <c:v>97.2386871055149</c:v>
                </c:pt>
                <c:pt idx="271">
                  <c:v>97.2591800773077</c:v>
                </c:pt>
                <c:pt idx="272">
                  <c:v>97.2796178187558</c:v>
                </c:pt>
                <c:pt idx="273">
                  <c:v>97.29983629184</c:v>
                </c:pt>
                <c:pt idx="274">
                  <c:v>97.3196667371299</c:v>
                </c:pt>
                <c:pt idx="275">
                  <c:v>97.338935853238</c:v>
                </c:pt>
                <c:pt idx="276">
                  <c:v>97.3574660117663</c:v>
                </c:pt>
                <c:pt idx="277">
                  <c:v>97.3750755090374</c:v>
                </c:pt>
                <c:pt idx="278">
                  <c:v>97.3915788556205</c:v>
                </c:pt>
                <c:pt idx="279">
                  <c:v>97.4067871043699</c:v>
                </c:pt>
                <c:pt idx="280">
                  <c:v>97.4205082173459</c:v>
                </c:pt>
                <c:pt idx="281">
                  <c:v>97.4325474716044</c:v>
                </c:pt>
                <c:pt idx="282">
                  <c:v>97.4427079034345</c:v>
                </c:pt>
                <c:pt idx="283">
                  <c:v>97.4507907901724</c:v>
                </c:pt>
                <c:pt idx="284">
                  <c:v>97.4565961682563</c:v>
                </c:pt>
                <c:pt idx="285">
                  <c:v>97.4599233856845</c:v>
                </c:pt>
                <c:pt idx="286">
                  <c:v>97.4605716865468</c:v>
                </c:pt>
                <c:pt idx="287">
                  <c:v>97.4583408247724</c:v>
                </c:pt>
                <c:pt idx="288">
                  <c:v>97.4530317037321</c:v>
                </c:pt>
                <c:pt idx="289">
                  <c:v>97.4444470378253</c:v>
                </c:pt>
                <c:pt idx="290">
                  <c:v>97.4323920317018</c:v>
                </c:pt>
                <c:pt idx="291">
                  <c:v>97.4166750723098</c:v>
                </c:pt>
                <c:pt idx="292">
                  <c:v>97.3971084285433</c:v>
                </c:pt>
                <c:pt idx="293">
                  <c:v>97.3735089529038</c:v>
                </c:pt>
                <c:pt idx="294">
                  <c:v>97.3456987792641</c:v>
                </c:pt>
                <c:pt idx="295">
                  <c:v>97.3135060106042</c:v>
                </c:pt>
                <c:pt idx="296">
                  <c:v>97.2767653903988</c:v>
                </c:pt>
                <c:pt idx="297">
                  <c:v>97.2353189512739</c:v>
                </c:pt>
                <c:pt idx="298">
                  <c:v>97.1890166345414</c:v>
                </c:pt>
                <c:pt idx="299">
                  <c:v>97.137716874327</c:v>
                </c:pt>
                <c:pt idx="300">
                  <c:v>97.0812871401931</c:v>
                </c:pt>
                <c:pt idx="301">
                  <c:v>97.0196044324558</c:v>
                </c:pt>
                <c:pt idx="302">
                  <c:v>96.9525557247679</c:v>
                </c:pt>
                <c:pt idx="303">
                  <c:v>96.8800383490134</c:v>
                </c:pt>
                <c:pt idx="304">
                  <c:v>96.8019603181199</c:v>
                </c:pt>
                <c:pt idx="305">
                  <c:v>96.7182405830151</c:v>
                </c:pt>
                <c:pt idx="306">
                  <c:v>96.6288092206617</c:v>
                </c:pt>
                <c:pt idx="307">
                  <c:v>96.5336075508421</c:v>
                </c:pt>
                <c:pt idx="308">
                  <c:v>96.4325881801662</c:v>
                </c:pt>
                <c:pt idx="309">
                  <c:v>96.3257149726001</c:v>
                </c:pt>
                <c:pt idx="310">
                  <c:v>96.2129629466211</c:v>
                </c:pt>
                <c:pt idx="311">
                  <c:v>96.0943180999746</c:v>
                </c:pt>
                <c:pt idx="312">
                  <c:v>95.9697771637823</c:v>
                </c:pt>
                <c:pt idx="313">
                  <c:v>95.8393472885687</c:v>
                </c:pt>
                <c:pt idx="314">
                  <c:v>95.7030456654839</c:v>
                </c:pt>
                <c:pt idx="315">
                  <c:v>95.560899086705</c:v>
                </c:pt>
                <c:pt idx="316">
                  <c:v>95.4129434495936</c:v>
                </c:pt>
                <c:pt idx="317">
                  <c:v>95.2592232097329</c:v>
                </c:pt>
                <c:pt idx="318">
                  <c:v>95.09979078842</c:v>
                </c:pt>
                <c:pt idx="319">
                  <c:v>94.934705940537</c:v>
                </c:pt>
                <c:pt idx="320">
                  <c:v>94.7640350890053</c:v>
                </c:pt>
                <c:pt idx="321">
                  <c:v>94.5878506321891</c:v>
                </c:pt>
                <c:pt idx="322">
                  <c:v>94.4062302307004</c:v>
                </c:pt>
                <c:pt idx="323">
                  <c:v>94.2192560800289</c:v>
                </c:pt>
                <c:pt idx="324">
                  <c:v>94.0270141753397</c:v>
                </c:pt>
                <c:pt idx="325">
                  <c:v>93.8295935745754</c:v>
                </c:pt>
                <c:pt idx="326">
                  <c:v>93.6270856657724</c:v>
                </c:pt>
                <c:pt idx="327">
                  <c:v>93.4195834441484</c:v>
                </c:pt>
                <c:pt idx="328">
                  <c:v>93.2071808041724</c:v>
                </c:pt>
                <c:pt idx="329">
                  <c:v>92.9899718513844</c:v>
                </c:pt>
                <c:pt idx="330">
                  <c:v>92.7680502382858</c:v>
                </c:pt>
                <c:pt idx="331">
                  <c:v>92.5415085281315</c:v>
                </c:pt>
                <c:pt idx="332">
                  <c:v>92.3104375899617</c:v>
                </c:pt>
                <c:pt idx="333">
                  <c:v>92.0749260276905</c:v>
                </c:pt>
                <c:pt idx="334">
                  <c:v>91.8350596455831</c:v>
                </c:pt>
                <c:pt idx="335">
                  <c:v>91.5909209519391</c:v>
                </c:pt>
                <c:pt idx="336">
                  <c:v>91.342588702333</c:v>
                </c:pt>
                <c:pt idx="337">
                  <c:v>91.0901374833017</c:v>
                </c:pt>
                <c:pt idx="338">
                  <c:v>90.8336373369416</c:v>
                </c:pt>
                <c:pt idx="339">
                  <c:v>90.5731534264901</c:v>
                </c:pt>
                <c:pt idx="340">
                  <c:v>90.3087457425869</c:v>
                </c:pt>
                <c:pt idx="341">
                  <c:v>90.0404688496156</c:v>
                </c:pt>
                <c:pt idx="342">
                  <c:v>89.7683716712138</c:v>
                </c:pt>
                <c:pt idx="343">
                  <c:v>89.4924973138158</c:v>
                </c:pt>
                <c:pt idx="344">
                  <c:v>89.2128829268743</c:v>
                </c:pt>
                <c:pt idx="345">
                  <c:v>88.9295595982454</c:v>
                </c:pt>
                <c:pt idx="346">
                  <c:v>88.6425522830844</c:v>
                </c:pt>
                <c:pt idx="347">
                  <c:v>88.3518797645091</c:v>
                </c:pt>
                <c:pt idx="348">
                  <c:v>88.0575546442179</c:v>
                </c:pt>
                <c:pt idx="349">
                  <c:v>87.7595833612143</c:v>
                </c:pt>
                <c:pt idx="350">
                  <c:v>87.4579662367902</c:v>
                </c:pt>
                <c:pt idx="351">
                  <c:v>87.152697543924</c:v>
                </c:pt>
                <c:pt idx="352">
                  <c:v>86.8437655992963</c:v>
                </c:pt>
                <c:pt idx="353">
                  <c:v>86.5311528761833</c:v>
                </c:pt>
                <c:pt idx="354">
                  <c:v>86.2148361365498</c:v>
                </c:pt>
                <c:pt idx="355">
                  <c:v>85.894786580764</c:v>
                </c:pt>
                <c:pt idx="356">
                  <c:v>85.570970013436</c:v>
                </c:pt>
                <c:pt idx="357">
                  <c:v>85.243347023997</c:v>
                </c:pt>
                <c:pt idx="358">
                  <c:v>84.9118731807418</c:v>
                </c:pt>
                <c:pt idx="359">
                  <c:v>84.5764992371679</c:v>
                </c:pt>
                <c:pt idx="360">
                  <c:v>84.2371713495624</c:v>
                </c:pt>
                <c:pt idx="361">
                  <c:v>83.8938313049056</c:v>
                </c:pt>
                <c:pt idx="362">
                  <c:v>83.546416758264</c:v>
                </c:pt>
                <c:pt idx="363">
                  <c:v>83.1948614789739</c:v>
                </c:pt>
                <c:pt idx="364">
                  <c:v>82.8390956050049</c:v>
                </c:pt>
                <c:pt idx="365">
                  <c:v>82.4790459050121</c:v>
                </c:pt>
                <c:pt idx="366">
                  <c:v>82.1146360476729</c:v>
                </c:pt>
                <c:pt idx="367">
                  <c:v>81.7457868779996</c:v>
                </c:pt>
                <c:pt idx="368">
                  <c:v>81.3724167004031</c:v>
                </c:pt>
                <c:pt idx="369">
                  <c:v>80.9944415683547</c:v>
                </c:pt>
                <c:pt idx="370">
                  <c:v>80.61177558057</c:v>
                </c:pt>
                <c:pt idx="371">
                  <c:v>80.2243311836867</c:v>
                </c:pt>
                <c:pt idx="372">
                  <c:v>79.832019481474</c:v>
                </c:pt>
                <c:pt idx="373">
                  <c:v>79.4347505506361</c:v>
                </c:pt>
                <c:pt idx="374">
                  <c:v>79.0324337633197</c:v>
                </c:pt>
                <c:pt idx="375">
                  <c:v>78.6249781164498</c:v>
                </c:pt>
                <c:pt idx="376">
                  <c:v>78.2122925680325</c:v>
                </c:pt>
                <c:pt idx="377">
                  <c:v>77.794286380566</c:v>
                </c:pt>
                <c:pt idx="378">
                  <c:v>77.3708694716983</c:v>
                </c:pt>
                <c:pt idx="379">
                  <c:v>76.9419527722395</c:v>
                </c:pt>
                <c:pt idx="380">
                  <c:v>76.5074485916257</c:v>
                </c:pt>
                <c:pt idx="381">
                  <c:v>76.0672709908737</c:v>
                </c:pt>
                <c:pt idx="382">
                  <c:v>75.6213361630334</c:v>
                </c:pt>
                <c:pt idx="383">
                  <c:v>75.1695628210611</c:v>
                </c:pt>
                <c:pt idx="384">
                  <c:v>74.7118725929929</c:v>
                </c:pt>
                <c:pt idx="385">
                  <c:v>74.2481904241858</c:v>
                </c:pt>
                <c:pt idx="386">
                  <c:v>73.778444986321</c:v>
                </c:pt>
                <c:pt idx="387">
                  <c:v>73.3025690927473</c:v>
                </c:pt>
                <c:pt idx="388">
                  <c:v>72.8205001196335</c:v>
                </c:pt>
                <c:pt idx="389">
                  <c:v>72.33218043227</c:v>
                </c:pt>
                <c:pt idx="390">
                  <c:v>71.8375578157255</c:v>
                </c:pt>
                <c:pt idx="391">
                  <c:v>71.3365859089284</c:v>
                </c:pt>
                <c:pt idx="392">
                  <c:v>70.8292246410763</c:v>
                </c:pt>
                <c:pt idx="393">
                  <c:v>70.3154406691367</c:v>
                </c:pt>
                <c:pt idx="394">
                  <c:v>69.7952078150258</c:v>
                </c:pt>
                <c:pt idx="395">
                  <c:v>69.2685075008879</c:v>
                </c:pt>
                <c:pt idx="396">
                  <c:v>68.7353291807335</c:v>
                </c:pt>
                <c:pt idx="397">
                  <c:v>68.1956707665105</c:v>
                </c:pt>
                <c:pt idx="398">
                  <c:v>67.6495390465304</c:v>
                </c:pt>
                <c:pt idx="399">
                  <c:v>67.0969500939901</c:v>
                </c:pt>
                <c:pt idx="400">
                  <c:v>66.537929663184</c:v>
                </c:pt>
                <c:pt idx="401">
                  <c:v>65.9725135708447</c:v>
                </c:pt>
                <c:pt idx="402">
                  <c:v>65.4007480599152</c:v>
                </c:pt>
                <c:pt idx="403">
                  <c:v>64.8226901429378</c:v>
                </c:pt>
                <c:pt idx="404">
                  <c:v>64.2384079221385</c:v>
                </c:pt>
                <c:pt idx="405">
                  <c:v>63.6479808832084</c:v>
                </c:pt>
                <c:pt idx="406">
                  <c:v>63.0515001597284</c:v>
                </c:pt>
                <c:pt idx="407">
                  <c:v>62.4490687651605</c:v>
                </c:pt>
                <c:pt idx="408">
                  <c:v>61.8408017893294</c:v>
                </c:pt>
                <c:pt idx="409">
                  <c:v>61.22682655637</c:v>
                </c:pt>
                <c:pt idx="410">
                  <c:v>60.6072827411863</c:v>
                </c:pt>
                <c:pt idx="411">
                  <c:v>59.9823224415911</c:v>
                </c:pt>
                <c:pt idx="412">
                  <c:v>59.3521102034618</c:v>
                </c:pt>
                <c:pt idx="413">
                  <c:v>58.7168229964384</c:v>
                </c:pt>
                <c:pt idx="414">
                  <c:v>58.0766501379588</c:v>
                </c:pt>
                <c:pt idx="415">
                  <c:v>57.4317931636911</c:v>
                </c:pt>
                <c:pt idx="416">
                  <c:v>56.7824656427838</c:v>
                </c:pt>
                <c:pt idx="417">
                  <c:v>56.1288929367059</c:v>
                </c:pt>
                <c:pt idx="418">
                  <c:v>55.4713119008759</c:v>
                </c:pt>
                <c:pt idx="419">
                  <c:v>54.8099705287165</c:v>
                </c:pt>
                <c:pt idx="420">
                  <c:v>54.1451275382501</c:v>
                </c:pt>
                <c:pt idx="421">
                  <c:v>53.4770519018468</c:v>
                </c:pt>
                <c:pt idx="422">
                  <c:v>52.8060223202619</c:v>
                </c:pt>
                <c:pt idx="423">
                  <c:v>52.132326642612</c:v>
                </c:pt>
                <c:pt idx="424">
                  <c:v>51.456261234487</c:v>
                </c:pt>
                <c:pt idx="425">
                  <c:v>50.7781302969136</c:v>
                </c:pt>
                <c:pt idx="426">
                  <c:v>50.0982451393954</c:v>
                </c:pt>
                <c:pt idx="427">
                  <c:v>49.4169234107576</c:v>
                </c:pt>
                <c:pt idx="428">
                  <c:v>48.7344882919721</c:v>
                </c:pt>
                <c:pt idx="429">
                  <c:v>48.0512676555779</c:v>
                </c:pt>
                <c:pt idx="430">
                  <c:v>47.3675931966836</c:v>
                </c:pt>
                <c:pt idx="431">
                  <c:v>46.6837995408533</c:v>
                </c:pt>
                <c:pt idx="432">
                  <c:v>46.0002233344711</c:v>
                </c:pt>
                <c:pt idx="433">
                  <c:v>45.3172023233566</c:v>
                </c:pt>
                <c:pt idx="434">
                  <c:v>44.6350744255595</c:v>
                </c:pt>
                <c:pt idx="435">
                  <c:v>43.9541768043138</c:v>
                </c:pt>
                <c:pt idx="436">
                  <c:v>43.274844947138</c:v>
                </c:pt>
                <c:pt idx="437">
                  <c:v>42.597411756986</c:v>
                </c:pt>
                <c:pt idx="438">
                  <c:v>41.9222066612012</c:v>
                </c:pt>
                <c:pt idx="439">
                  <c:v>41.2495547438292</c:v>
                </c:pt>
                <c:pt idx="440">
                  <c:v>40.5797759065508</c:v>
                </c:pt>
                <c:pt idx="441">
                  <c:v>39.9131840631653</c:v>
                </c:pt>
                <c:pt idx="442">
                  <c:v>39.2500863721827</c:v>
                </c:pt>
                <c:pt idx="443">
                  <c:v>38.5907825116254</c:v>
                </c:pt>
                <c:pt idx="444">
                  <c:v>37.9355639997045</c:v>
                </c:pt>
                <c:pt idx="445">
                  <c:v>37.2847135645021</c:v>
                </c:pt>
                <c:pt idx="446">
                  <c:v>36.6385045653042</c:v>
                </c:pt>
                <c:pt idx="447">
                  <c:v>35.9972004676811</c:v>
                </c:pt>
                <c:pt idx="448">
                  <c:v>35.361054373882</c:v>
                </c:pt>
                <c:pt idx="449">
                  <c:v>34.7303086095826</c:v>
                </c:pt>
                <c:pt idx="450">
                  <c:v>34.1051943675017</c:v>
                </c:pt>
                <c:pt idx="451">
                  <c:v>33.4859314079083</c:v>
                </c:pt>
                <c:pt idx="452">
                  <c:v>32.8727278155563</c:v>
                </c:pt>
                <c:pt idx="453">
                  <c:v>32.2657798121488</c:v>
                </c:pt>
                <c:pt idx="454">
                  <c:v>31.6652716230118</c:v>
                </c:pt>
                <c:pt idx="455">
                  <c:v>31.0713753962941</c:v>
                </c:pt>
                <c:pt idx="456">
                  <c:v>30.4842511726663</c:v>
                </c:pt>
                <c:pt idx="457">
                  <c:v>29.9040469032121</c:v>
                </c:pt>
                <c:pt idx="458">
                  <c:v>29.3308985129481</c:v>
                </c:pt>
                <c:pt idx="459">
                  <c:v>28.7649300072126</c:v>
                </c:pt>
                <c:pt idx="460">
                  <c:v>28.2062536179969</c:v>
                </c:pt>
                <c:pt idx="461">
                  <c:v>27.6549699871771</c:v>
                </c:pt>
                <c:pt idx="462">
                  <c:v>27.1111683835206</c:v>
                </c:pt>
                <c:pt idx="463">
                  <c:v>26.5749269503037</c:v>
                </c:pt>
                <c:pt idx="464">
                  <c:v>26.0463129803634</c:v>
                </c:pt>
                <c:pt idx="465">
                  <c:v>25.525383215438</c:v>
                </c:pt>
                <c:pt idx="466">
                  <c:v>25.0121841666921</c:v>
                </c:pt>
                <c:pt idx="467">
                  <c:v>24.5067524534153</c:v>
                </c:pt>
                <c:pt idx="468">
                  <c:v>24.0091151569637</c:v>
                </c:pt>
                <c:pt idx="469">
                  <c:v>23.5192901871556</c:v>
                </c:pt>
                <c:pt idx="470">
                  <c:v>23.0372866584393</c:v>
                </c:pt>
                <c:pt idx="471">
                  <c:v>22.563105273323</c:v>
                </c:pt>
                <c:pt idx="472">
                  <c:v>22.0967387106938</c:v>
                </c:pt>
                <c:pt idx="473">
                  <c:v>21.6381720168234</c:v>
                </c:pt>
                <c:pt idx="474">
                  <c:v>21.1873829970211</c:v>
                </c:pt>
                <c:pt idx="475">
                  <c:v>20.7443426060649</c:v>
                </c:pt>
                <c:pt idx="476">
                  <c:v>20.309015335707</c:v>
                </c:pt>
                <c:pt idx="477">
                  <c:v>19.8813595977169</c:v>
                </c:pt>
                <c:pt idx="478">
                  <c:v>19.4613281010875</c:v>
                </c:pt>
                <c:pt idx="479">
                  <c:v>19.0488682221849</c:v>
                </c:pt>
                <c:pt idx="480">
                  <c:v>18.6439223667761</c:v>
                </c:pt>
                <c:pt idx="481">
                  <c:v>18.2464283230137</c:v>
                </c:pt>
                <c:pt idx="482">
                  <c:v>17.8563196045912</c:v>
                </c:pt>
                <c:pt idx="483">
                  <c:v>17.4735257834094</c:v>
                </c:pt>
                <c:pt idx="484">
                  <c:v>17.0979728112243</c:v>
                </c:pt>
                <c:pt idx="485">
                  <c:v>16.7295833298459</c:v>
                </c:pt>
                <c:pt idx="486">
                  <c:v>16.3682769695707</c:v>
                </c:pt>
                <c:pt idx="487">
                  <c:v>16.0139706356202</c:v>
                </c:pt>
                <c:pt idx="488">
                  <c:v>15.6665787824451</c:v>
                </c:pt>
                <c:pt idx="489">
                  <c:v>15.3260136758347</c:v>
                </c:pt>
                <c:pt idx="490">
                  <c:v>14.9921856428369</c:v>
                </c:pt>
                <c:pt idx="491">
                  <c:v>14.6650033095623</c:v>
                </c:pt>
                <c:pt idx="492">
                  <c:v>14.3443738269945</c:v>
                </c:pt>
                <c:pt idx="493">
                  <c:v>14.0302030849846</c:v>
                </c:pt>
                <c:pt idx="494">
                  <c:v>13.722395914641</c:v>
                </c:pt>
                <c:pt idx="495">
                  <c:v>13.4208562793716</c:v>
                </c:pt>
                <c:pt idx="496">
                  <c:v>13.1254874548561</c:v>
                </c:pt>
                <c:pt idx="497">
                  <c:v>12.8361921982586</c:v>
                </c:pt>
                <c:pt idx="498">
                  <c:v>12.5528729070073</c:v>
                </c:pt>
                <c:pt idx="499">
                  <c:v>12.2754317674867</c:v>
                </c:pt>
                <c:pt idx="500">
                  <c:v>12.0037708939969</c:v>
                </c:pt>
                <c:pt idx="501">
                  <c:v>11.7377924583501</c:v>
                </c:pt>
                <c:pt idx="502">
                  <c:v>11.4773988104683</c:v>
                </c:pt>
                <c:pt idx="503">
                  <c:v>11.2224925903658</c:v>
                </c:pt>
                <c:pt idx="504">
                  <c:v>10.9729768318836</c:v>
                </c:pt>
                <c:pt idx="505">
                  <c:v>10.7287550585524</c:v>
                </c:pt>
                <c:pt idx="506">
                  <c:v>10.4897313719549</c:v>
                </c:pt>
                <c:pt idx="507">
                  <c:v>10.255810532949</c:v>
                </c:pt>
                <c:pt idx="508">
                  <c:v>10.0268980361128</c:v>
                </c:pt>
                <c:pt idx="509">
                  <c:v>9.80290017775815</c:v>
                </c:pt>
                <c:pt idx="510">
                  <c:v>9.58372411785924</c:v>
                </c:pt>
                <c:pt idx="511">
                  <c:v>9.36927793622281</c:v>
                </c:pt>
                <c:pt idx="512">
                  <c:v>9.1594706832253</c:v>
                </c:pt>
                <c:pt idx="513">
                  <c:v>8.95421242542742</c:v>
                </c:pt>
                <c:pt idx="514">
                  <c:v>8.75341428636476</c:v>
                </c:pt>
                <c:pt idx="515">
                  <c:v>8.55698848280627</c:v>
                </c:pt>
                <c:pt idx="516">
                  <c:v>8.36484835675425</c:v>
                </c:pt>
                <c:pt idx="517">
                  <c:v>8.17690840345514</c:v>
                </c:pt>
                <c:pt idx="518">
                  <c:v>7.99308429567366</c:v>
                </c:pt>
                <c:pt idx="519">
                  <c:v>7.81329290447448</c:v>
                </c:pt>
                <c:pt idx="520">
                  <c:v>7.63745231674161</c:v>
                </c:pt>
                <c:pt idx="521">
                  <c:v>7.46548184965791</c:v>
                </c:pt>
                <c:pt idx="522">
                  <c:v>7.29730206235419</c:v>
                </c:pt>
                <c:pt idx="523">
                  <c:v>7.13283476492616</c:v>
                </c:pt>
                <c:pt idx="524">
                  <c:v>6.97200302500944</c:v>
                </c:pt>
                <c:pt idx="525">
                  <c:v>6.81473117209052</c:v>
                </c:pt>
                <c:pt idx="526">
                  <c:v>6.66094479972417</c:v>
                </c:pt>
                <c:pt idx="527">
                  <c:v>6.51057076581589</c:v>
                </c:pt>
                <c:pt idx="528">
                  <c:v>6.36353719112106</c:v>
                </c:pt>
                <c:pt idx="529">
                  <c:v>6.21977345610296</c:v>
                </c:pt>
                <c:pt idx="530">
                  <c:v>6.07921019628399</c:v>
                </c:pt>
                <c:pt idx="531">
                  <c:v>5.94177929621513</c:v>
                </c:pt>
                <c:pt idx="532">
                  <c:v>5.80741388218338</c:v>
                </c:pt>
                <c:pt idx="533">
                  <c:v>5.67604831376753</c:v>
                </c:pt>
                <c:pt idx="534">
                  <c:v>5.5476181743463</c:v>
                </c:pt>
                <c:pt idx="535">
                  <c:v>5.42206026065835</c:v>
                </c:pt>
                <c:pt idx="536">
                  <c:v>5.2993125715031</c:v>
                </c:pt>
                <c:pt idx="537">
                  <c:v>5.1793142956703</c:v>
                </c:pt>
                <c:pt idx="538">
                  <c:v>5.06200579917633</c:v>
                </c:pt>
                <c:pt idx="539">
                  <c:v>4.94732861188387</c:v>
                </c:pt>
                <c:pt idx="540">
                  <c:v>4.83522541357258</c:v>
                </c:pt>
                <c:pt idx="541">
                  <c:v>4.72564001952722</c:v>
                </c:pt>
              </c:numCache>
            </c:numRef>
          </c:yVal>
          <c:smooth val="1"/>
        </c:ser>
        <c:dLbls>
          <c:showLegendKey val="0"/>
          <c:showVal val="0"/>
          <c:showCatName val="0"/>
          <c:showSerName val="0"/>
          <c:showPercent val="0"/>
          <c:showBubbleSize val="0"/>
        </c:dLbls>
        <c:axId val="178915200"/>
        <c:axId val="178913664"/>
      </c:scatterChart>
      <c:valAx>
        <c:axId val="178901376"/>
        <c:scaling>
          <c:logBase val="10"/>
          <c:orientation val="minMax"/>
          <c:max val="2200000"/>
          <c:min val="10"/>
        </c:scaling>
        <c:delete val="0"/>
        <c:axPos val="b"/>
        <c:minorGridlines/>
        <c:title>
          <c:tx>
            <c:rich>
              <a:bodyPr rot="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Frequency</a:t>
                </a:r>
                <a:r>
                  <a:rPr lang="en-US" baseline="0"/>
                  <a:t> (Hz)</a:t>
                </a:r>
                <a:endParaRPr lang="en-US"/>
              </a:p>
            </c:rich>
          </c:tx>
          <c:layout/>
          <c:overlay val="0"/>
        </c:title>
        <c:numFmt formatCode="0" sourceLinked="0"/>
        <c:majorTickMark val="out"/>
        <c:minorTickMark val="none"/>
        <c:tickLblPos val="low"/>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903296"/>
        <c:crosses val="autoZero"/>
        <c:crossBetween val="midCat"/>
      </c:valAx>
      <c:valAx>
        <c:axId val="178903296"/>
        <c:scaling>
          <c:orientation val="minMax"/>
          <c:max val="40"/>
          <c:min val="-40"/>
        </c:scaling>
        <c:delete val="0"/>
        <c:axPos val="l"/>
        <c:majorGridlines/>
        <c:minorGridlines/>
        <c:title>
          <c:tx>
            <c:rich>
              <a:bodyPr rot="-540000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solidFill>
                      <a:srgbClr val="FF0000"/>
                    </a:solidFill>
                  </a:rPr>
                  <a:t>Gain</a:t>
                </a:r>
                <a:r>
                  <a:rPr lang="en-US" baseline="0">
                    <a:solidFill>
                      <a:srgbClr val="FF0000"/>
                    </a:solidFill>
                  </a:rPr>
                  <a:t> (dB)</a:t>
                </a:r>
                <a:endParaRPr lang="en-US">
                  <a:solidFill>
                    <a:srgbClr val="FF0000"/>
                  </a:solidFill>
                </a:endParaRPr>
              </a:p>
            </c:rich>
          </c:tx>
          <c:layout/>
          <c:overlay val="0"/>
        </c:title>
        <c:numFmt formatCode="General" sourceLinked="0"/>
        <c:majorTickMark val="out"/>
        <c:minorTickMark val="none"/>
        <c:tickLblPos val="nextTo"/>
        <c:txPr>
          <a:bodyPr rot="-60000000" spcFirstLastPara="0" vertOverflow="ellipsis" vert="horz" wrap="square" anchor="ctr" anchorCtr="1"/>
          <a:lstStyle/>
          <a:p>
            <a:pPr>
              <a:defRPr lang="pl-PL" sz="1000" b="0" i="0" u="none" strike="noStrike" kern="1200" baseline="0">
                <a:solidFill>
                  <a:srgbClr val="FF0000"/>
                </a:solidFill>
                <a:latin typeface="+mn-lt"/>
                <a:ea typeface="+mn-ea"/>
                <a:cs typeface="+mn-cs"/>
              </a:defRPr>
            </a:pPr>
          </a:p>
        </c:txPr>
        <c:crossAx val="178901376"/>
        <c:crosses val="autoZero"/>
        <c:crossBetween val="midCat"/>
        <c:majorUnit val="20"/>
        <c:minorUnit val="10"/>
      </c:valAx>
      <c:valAx>
        <c:axId val="178915200"/>
        <c:scaling>
          <c:logBase val="10"/>
          <c:orientation val="minMax"/>
        </c:scaling>
        <c:delete val="1"/>
        <c:axPos val="b"/>
        <c:numFmt formatCode="0.00"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913664"/>
        <c:crosses val="autoZero"/>
        <c:crossBetween val="midCat"/>
      </c:valAx>
      <c:valAx>
        <c:axId val="178913664"/>
        <c:scaling>
          <c:orientation val="minMax"/>
          <c:max val="180"/>
          <c:min val="-180"/>
        </c:scaling>
        <c:delete val="0"/>
        <c:axPos val="r"/>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lumMod val="95000"/>
                    <a:lumOff val="5000"/>
                  </a:schemeClr>
                </a:solidFill>
                <a:latin typeface="+mn-lt"/>
                <a:ea typeface="+mn-ea"/>
                <a:cs typeface="+mn-cs"/>
              </a:defRPr>
            </a:pPr>
          </a:p>
        </c:txPr>
        <c:crossAx val="178915200"/>
        <c:crosses val="max"/>
        <c:crossBetween val="midCat"/>
        <c:majorUnit val="90"/>
        <c:minorUnit val="45"/>
      </c:valAx>
    </c:plotArea>
    <c:plotVisOnly val="1"/>
    <c:dispBlanksAs val="gap"/>
    <c:showDLblsOverMax val="0"/>
    <c:extLst>
      <c:ext uri="{0b15fc19-7d7d-44ad-8c2d-2c3a37ce22c3}">
        <chartProps xmlns="https://web.wps.cn/et/2018/main" chartId="{b4989062-e712-4921-b8f5-b113f4e82bf7}"/>
      </c:ext>
    </c:extLst>
  </c:chart>
  <c:txPr>
    <a:bodyPr/>
    <a:lstStyle/>
    <a:p>
      <a:pPr>
        <a:defRPr lang="pl-PL"/>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pl-PL" sz="1800" b="1" i="0" u="none" strike="noStrike" kern="1200" baseline="0">
                <a:solidFill>
                  <a:schemeClr val="tx1"/>
                </a:solidFill>
                <a:latin typeface="+mn-lt"/>
                <a:ea typeface="+mn-ea"/>
                <a:cs typeface="+mn-cs"/>
              </a:defRPr>
            </a:pPr>
            <a:r>
              <a:rPr lang="en-US" baseline="0"/>
              <a:t>Total Control Loop Transfer Function</a:t>
            </a:r>
            <a:endParaRPr lang="en-US" baseline="0"/>
          </a:p>
        </c:rich>
      </c:tx>
      <c:layout/>
      <c:overlay val="0"/>
    </c:title>
    <c:autoTitleDeleted val="0"/>
    <c:plotArea>
      <c:layout/>
      <c:scatterChart>
        <c:scatterStyle val="smooth"/>
        <c:varyColors val="0"/>
        <c:ser>
          <c:idx val="0"/>
          <c:order val="0"/>
          <c:spPr>
            <a:ln w="38100" cap="rnd" cmpd="sng" algn="ctr">
              <a:solidFill>
                <a:srgbClr val="FF0000"/>
              </a:solidFill>
              <a:prstDash val="solid"/>
              <a:round/>
            </a:ln>
          </c:spPr>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Loop_Modeling!$BL$19:$BL$560</c:f>
              <c:numCache>
                <c:formatCode>General</c:formatCode>
                <c:ptCount val="542"/>
                <c:pt idx="0">
                  <c:v>65.1367453381581</c:v>
                </c:pt>
                <c:pt idx="1">
                  <c:v>64.9355046316535</c:v>
                </c:pt>
                <c:pt idx="2">
                  <c:v>64.7342059887021</c:v>
                </c:pt>
                <c:pt idx="3">
                  <c:v>64.5328467301449</c:v>
                </c:pt>
                <c:pt idx="4">
                  <c:v>64.3314240554434</c:v>
                </c:pt>
                <c:pt idx="5">
                  <c:v>64.1299350374217</c:v>
                </c:pt>
                <c:pt idx="6">
                  <c:v>63.9283766168029</c:v>
                </c:pt>
                <c:pt idx="7">
                  <c:v>63.7267455965363</c:v>
                </c:pt>
                <c:pt idx="8">
                  <c:v>63.5250386359078</c:v>
                </c:pt>
                <c:pt idx="9">
                  <c:v>63.3232522444295</c:v>
                </c:pt>
                <c:pt idx="10">
                  <c:v>63.1213827755029</c:v>
                </c:pt>
                <c:pt idx="11">
                  <c:v>62.9194264198493</c:v>
                </c:pt>
                <c:pt idx="12">
                  <c:v>62.7173791987052</c:v>
                </c:pt>
                <c:pt idx="13">
                  <c:v>62.5152369567749</c:v>
                </c:pt>
                <c:pt idx="14">
                  <c:v>62.3129953549392</c:v>
                </c:pt>
                <c:pt idx="15">
                  <c:v>62.1106498627138</c:v>
                </c:pt>
                <c:pt idx="16">
                  <c:v>61.9081957504568</c:v>
                </c:pt>
                <c:pt idx="17">
                  <c:v>61.7056280813194</c:v>
                </c:pt>
                <c:pt idx="18">
                  <c:v>61.5029417029411</c:v>
                </c:pt>
                <c:pt idx="19">
                  <c:v>61.3001312388853</c:v>
                </c:pt>
                <c:pt idx="20">
                  <c:v>61.0971910798167</c:v>
                </c:pt>
                <c:pt idx="21">
                  <c:v>60.8941153744207</c:v>
                </c:pt>
                <c:pt idx="22">
                  <c:v>60.6908980200645</c:v>
                </c:pt>
                <c:pt idx="23">
                  <c:v>60.4875326532056</c:v>
                </c:pt>
                <c:pt idx="24">
                  <c:v>60.2840126395506</c:v>
                </c:pt>
                <c:pt idx="25">
                  <c:v>60.0803310639679</c:v>
                </c:pt>
                <c:pt idx="26">
                  <c:v>59.8764807201651</c:v>
                </c:pt>
                <c:pt idx="27">
                  <c:v>59.6724541001376</c:v>
                </c:pt>
                <c:pt idx="28">
                  <c:v>59.4682433833996</c:v>
                </c:pt>
                <c:pt idx="29">
                  <c:v>59.2638404260129</c:v>
                </c:pt>
                <c:pt idx="30">
                  <c:v>59.059236749426</c:v>
                </c:pt>
                <c:pt idx="31">
                  <c:v>58.8544235291441</c:v>
                </c:pt>
                <c:pt idx="32">
                  <c:v>58.6493915832504</c:v>
                </c:pt>
                <c:pt idx="33">
                  <c:v>58.4441313608025</c:v>
                </c:pt>
                <c:pt idx="34">
                  <c:v>58.2386329301322</c:v>
                </c:pt>
                <c:pt idx="35">
                  <c:v>58.0328859670798</c:v>
                </c:pt>
                <c:pt idx="36">
                  <c:v>57.8268797431969</c:v>
                </c:pt>
                <c:pt idx="37">
                  <c:v>57.6206031139597</c:v>
                </c:pt>
                <c:pt idx="38">
                  <c:v>57.4140445070329</c:v>
                </c:pt>
                <c:pt idx="39">
                  <c:v>57.2071919106373</c:v>
                </c:pt>
                <c:pt idx="40">
                  <c:v>57.0000328620705</c:v>
                </c:pt>
                <c:pt idx="41">
                  <c:v>56.7925544364439</c:v>
                </c:pt>
                <c:pt idx="42">
                  <c:v>56.5847432356984</c:v>
                </c:pt>
                <c:pt idx="43">
                  <c:v>56.3765853779718</c:v>
                </c:pt>
                <c:pt idx="44">
                  <c:v>56.1680664873942</c:v>
                </c:pt>
                <c:pt idx="45">
                  <c:v>55.9591716843971</c:v>
                </c:pt>
                <c:pt idx="46">
                  <c:v>55.7498855766273</c:v>
                </c:pt>
                <c:pt idx="47">
                  <c:v>55.5401922505634</c:v>
                </c:pt>
                <c:pt idx="48">
                  <c:v>55.3300752639431</c:v>
                </c:pt>
                <c:pt idx="49">
                  <c:v>55.1195176391142</c:v>
                </c:pt>
                <c:pt idx="50">
                  <c:v>54.9085018574317</c:v>
                </c:pt>
                <c:pt idx="51">
                  <c:v>54.6970098548323</c:v>
                </c:pt>
                <c:pt idx="52">
                  <c:v>54.4850230187223</c:v>
                </c:pt>
                <c:pt idx="53">
                  <c:v>54.2725221863293</c:v>
                </c:pt>
                <c:pt idx="54">
                  <c:v>54.0594876446684</c:v>
                </c:pt>
                <c:pt idx="55">
                  <c:v>53.8458991322888</c:v>
                </c:pt>
                <c:pt idx="56">
                  <c:v>53.6317358429697</c:v>
                </c:pt>
                <c:pt idx="57">
                  <c:v>53.4169764315428</c:v>
                </c:pt>
                <c:pt idx="58">
                  <c:v>53.2015990220276</c:v>
                </c:pt>
                <c:pt idx="59">
                  <c:v>52.9855812182677</c:v>
                </c:pt>
                <c:pt idx="60">
                  <c:v>52.7689001172665</c:v>
                </c:pt>
                <c:pt idx="61">
                  <c:v>52.5515323254206</c:v>
                </c:pt>
                <c:pt idx="62">
                  <c:v>52.3334539778551</c:v>
                </c:pt>
                <c:pt idx="63">
                  <c:v>52.1146407610663</c:v>
                </c:pt>
                <c:pt idx="64">
                  <c:v>51.8950679390766</c:v>
                </c:pt>
                <c:pt idx="65">
                  <c:v>51.674710383306</c:v>
                </c:pt>
                <c:pt idx="66">
                  <c:v>51.4535426063611</c:v>
                </c:pt>
                <c:pt idx="67">
                  <c:v>51.2315387999344</c:v>
                </c:pt>
                <c:pt idx="68">
                  <c:v>51.0086728770034</c:v>
                </c:pt>
                <c:pt idx="69">
                  <c:v>50.7849185185021</c:v>
                </c:pt>
                <c:pt idx="70">
                  <c:v>50.5602492246289</c:v>
                </c:pt>
                <c:pt idx="71">
                  <c:v>50.3346383709347</c:v>
                </c:pt>
                <c:pt idx="72">
                  <c:v>50.1080592693166</c:v>
                </c:pt>
                <c:pt idx="73">
                  <c:v>49.8804852340182</c:v>
                </c:pt>
                <c:pt idx="74">
                  <c:v>49.6518896527107</c:v>
                </c:pt>
                <c:pt idx="75">
                  <c:v>49.4222460626977</c:v>
                </c:pt>
                <c:pt idx="76">
                  <c:v>49.191528232253</c:v>
                </c:pt>
                <c:pt idx="77">
                  <c:v>48.9597102470605</c:v>
                </c:pt>
                <c:pt idx="78">
                  <c:v>48.7267666016854</c:v>
                </c:pt>
                <c:pt idx="79">
                  <c:v>48.4926722959592</c:v>
                </c:pt>
                <c:pt idx="80">
                  <c:v>48.2574029361121</c:v>
                </c:pt>
                <c:pt idx="81">
                  <c:v>48.0209348404342</c:v>
                </c:pt>
                <c:pt idx="82">
                  <c:v>47.7832451491929</c:v>
                </c:pt>
                <c:pt idx="83">
                  <c:v>47.5443119384766</c:v>
                </c:pt>
                <c:pt idx="84">
                  <c:v>47.3041143375752</c:v>
                </c:pt>
                <c:pt idx="85">
                  <c:v>47.0626326494483</c:v>
                </c:pt>
                <c:pt idx="86">
                  <c:v>46.8198484737729</c:v>
                </c:pt>
                <c:pt idx="87">
                  <c:v>46.5757448319986</c:v>
                </c:pt>
                <c:pt idx="88">
                  <c:v>46.3303062937841</c:v>
                </c:pt>
                <c:pt idx="89">
                  <c:v>46.0835191041266</c:v>
                </c:pt>
                <c:pt idx="90">
                  <c:v>45.8353713104453</c:v>
                </c:pt>
                <c:pt idx="91">
                  <c:v>45.5858528888278</c:v>
                </c:pt>
                <c:pt idx="92">
                  <c:v>45.334955868604</c:v>
                </c:pt>
                <c:pt idx="93">
                  <c:v>45.0826744543705</c:v>
                </c:pt>
                <c:pt idx="94">
                  <c:v>44.8290051445577</c:v>
                </c:pt>
                <c:pt idx="95">
                  <c:v>44.5739468456066</c:v>
                </c:pt>
                <c:pt idx="96">
                  <c:v>44.3175009808024</c:v>
                </c:pt>
                <c:pt idx="97">
                  <c:v>44.0596715928092</c:v>
                </c:pt>
                <c:pt idx="98">
                  <c:v>43.8004654389472</c:v>
                </c:pt>
                <c:pt idx="99">
                  <c:v>43.5398920782709</c:v>
                </c:pt>
                <c:pt idx="100">
                  <c:v>43.2779639495256</c:v>
                </c:pt>
                <c:pt idx="101">
                  <c:v>43.0146964390956</c:v>
                </c:pt>
                <c:pt idx="102">
                  <c:v>42.7501079381027</c:v>
                </c:pt>
                <c:pt idx="103">
                  <c:v>42.4842198878629</c:v>
                </c:pt>
                <c:pt idx="104">
                  <c:v>42.2170568129818</c:v>
                </c:pt>
                <c:pt idx="105">
                  <c:v>41.9486463414363</c:v>
                </c:pt>
                <c:pt idx="106">
                  <c:v>41.6790192110783</c:v>
                </c:pt>
                <c:pt idx="107">
                  <c:v>41.4082092620844</c:v>
                </c:pt>
                <c:pt idx="108">
                  <c:v>41.1362534149715</c:v>
                </c:pt>
                <c:pt idx="109">
                  <c:v>40.8631916339095</c:v>
                </c:pt>
                <c:pt idx="110">
                  <c:v>40.5890668751596</c:v>
                </c:pt>
                <c:pt idx="111">
                  <c:v>40.3139250205861</c:v>
                </c:pt>
                <c:pt idx="112">
                  <c:v>40.0378147963018</c:v>
                </c:pt>
                <c:pt idx="113">
                  <c:v>39.7607876766165</c:v>
                </c:pt>
                <c:pt idx="114">
                  <c:v>39.4828977735797</c:v>
                </c:pt>
                <c:pt idx="115">
                  <c:v>39.2042017125109</c:v>
                </c:pt>
                <c:pt idx="116">
                  <c:v>38.92475849403</c:v>
                </c:pt>
                <c:pt idx="117">
                  <c:v>38.6446293431955</c:v>
                </c:pt>
                <c:pt idx="118">
                  <c:v>38.3638775464661</c:v>
                </c:pt>
                <c:pt idx="119">
                  <c:v>38.082568277289</c:v>
                </c:pt>
                <c:pt idx="120">
                  <c:v>37.8007684112107</c:v>
                </c:pt>
                <c:pt idx="121">
                  <c:v>37.518546331481</c:v>
                </c:pt>
                <c:pt idx="122">
                  <c:v>37.2359717261978</c:v>
                </c:pt>
                <c:pt idx="123">
                  <c:v>36.9531153781022</c:v>
                </c:pt>
                <c:pt idx="124">
                  <c:v>36.6700489481851</c:v>
                </c:pt>
                <c:pt idx="125">
                  <c:v>36.3868447543191</c:v>
                </c:pt>
                <c:pt idx="126">
                  <c:v>36.1035755461622</c:v>
                </c:pt>
                <c:pt idx="127">
                  <c:v>35.8203142776068</c:v>
                </c:pt>
                <c:pt idx="128">
                  <c:v>35.537133878068</c:v>
                </c:pt>
                <c:pt idx="129">
                  <c:v>35.2541070239128</c:v>
                </c:pt>
                <c:pt idx="130">
                  <c:v>34.9713059113301</c:v>
                </c:pt>
                <c:pt idx="131">
                  <c:v>34.6888020319317</c:v>
                </c:pt>
                <c:pt idx="132">
                  <c:v>34.4066659523536</c:v>
                </c:pt>
                <c:pt idx="133">
                  <c:v>34.1249670990981</c:v>
                </c:pt>
                <c:pt idx="134">
                  <c:v>33.8437735498181</c:v>
                </c:pt>
                <c:pt idx="135">
                  <c:v>33.5631518321964</c:v>
                </c:pt>
                <c:pt idx="136">
                  <c:v>33.2831667315164</c:v>
                </c:pt>
                <c:pt idx="137">
                  <c:v>33.0038811079548</c:v>
                </c:pt>
                <c:pt idx="138">
                  <c:v>32.7253557245535</c:v>
                </c:pt>
                <c:pt idx="139">
                  <c:v>32.447649086745</c:v>
                </c:pt>
                <c:pt idx="140">
                  <c:v>32.1708172942184</c:v>
                </c:pt>
                <c:pt idx="141">
                  <c:v>31.8949139058165</c:v>
                </c:pt>
                <c:pt idx="142">
                  <c:v>31.6199898180546</c:v>
                </c:pt>
                <c:pt idx="143">
                  <c:v>31.3460931577448</c:v>
                </c:pt>
                <c:pt idx="144">
                  <c:v>31.0732691891</c:v>
                </c:pt>
                <c:pt idx="145">
                  <c:v>30.8015602355813</c:v>
                </c:pt>
                <c:pt idx="146">
                  <c:v>30.5310056166352</c:v>
                </c:pt>
                <c:pt idx="147">
                  <c:v>30.2616415993569</c:v>
                </c:pt>
                <c:pt idx="148">
                  <c:v>29.9935013649994</c:v>
                </c:pt>
                <c:pt idx="149">
                  <c:v>29.7266149901398</c:v>
                </c:pt>
                <c:pt idx="150">
                  <c:v>29.4610094422054</c:v>
                </c:pt>
                <c:pt idx="151">
                  <c:v>29.1967085889606</c:v>
                </c:pt>
                <c:pt idx="152">
                  <c:v>28.9337332214587</c:v>
                </c:pt>
                <c:pt idx="153">
                  <c:v>28.672101089874</c:v>
                </c:pt>
                <c:pt idx="154">
                  <c:v>28.4118269515478</c:v>
                </c:pt>
                <c:pt idx="155">
                  <c:v>28.1529226305105</c:v>
                </c:pt>
                <c:pt idx="156">
                  <c:v>27.8953970876777</c:v>
                </c:pt>
                <c:pt idx="157">
                  <c:v>27.6392565008681</c:v>
                </c:pt>
                <c:pt idx="158">
                  <c:v>27.3845043537474</c:v>
                </c:pt>
                <c:pt idx="159">
                  <c:v>27.131141532771</c:v>
                </c:pt>
                <c:pt idx="160">
                  <c:v>26.8791664311787</c:v>
                </c:pt>
                <c:pt idx="161">
                  <c:v>26.6285750590838</c:v>
                </c:pt>
                <c:pt idx="162">
                  <c:v>26.3793611586994</c:v>
                </c:pt>
                <c:pt idx="163">
                  <c:v>26.1315163237535</c:v>
                </c:pt>
                <c:pt idx="164">
                  <c:v>25.885030122164</c:v>
                </c:pt>
                <c:pt idx="165">
                  <c:v>25.6398902210722</c:v>
                </c:pt>
                <c:pt idx="166">
                  <c:v>25.3960825133655</c:v>
                </c:pt>
                <c:pt idx="167">
                  <c:v>25.1535912448635</c:v>
                </c:pt>
                <c:pt idx="168">
                  <c:v>24.9123991413882</c:v>
                </c:pt>
                <c:pt idx="169">
                  <c:v>24.6724875349866</c:v>
                </c:pt>
                <c:pt idx="170">
                  <c:v>24.433836488635</c:v>
                </c:pt>
                <c:pt idx="171">
                  <c:v>24.196424918806</c:v>
                </c:pt>
                <c:pt idx="172">
                  <c:v>23.9602307153434</c:v>
                </c:pt>
                <c:pt idx="173">
                  <c:v>23.7252308581457</c:v>
                </c:pt>
                <c:pt idx="174">
                  <c:v>23.4914015302261</c:v>
                </c:pt>
                <c:pt idx="175">
                  <c:v>23.258718226768</c:v>
                </c:pt>
                <c:pt idx="176">
                  <c:v>23.0271558598623</c:v>
                </c:pt>
                <c:pt idx="177">
                  <c:v>22.7966888586626</c:v>
                </c:pt>
                <c:pt idx="178">
                  <c:v>22.5672912647525</c:v>
                </c:pt>
                <c:pt idx="179">
                  <c:v>22.338936822569</c:v>
                </c:pt>
                <c:pt idx="180">
                  <c:v>22.1115990647743</c:v>
                </c:pt>
                <c:pt idx="181">
                  <c:v>21.8852513925139</c:v>
                </c:pt>
                <c:pt idx="182">
                  <c:v>21.6598671505387</c:v>
                </c:pt>
                <c:pt idx="183">
                  <c:v>21.4354196972077</c:v>
                </c:pt>
                <c:pt idx="184">
                  <c:v>21.2118824694206</c:v>
                </c:pt>
                <c:pt idx="185">
                  <c:v>20.9892290425607</c:v>
                </c:pt>
                <c:pt idx="186">
                  <c:v>20.7674331855529</c:v>
                </c:pt>
                <c:pt idx="187">
                  <c:v>20.5464689111678</c:v>
                </c:pt>
                <c:pt idx="188">
                  <c:v>20.3263105217174</c:v>
                </c:pt>
                <c:pt idx="189">
                  <c:v>20.1069326503096</c:v>
                </c:pt>
                <c:pt idx="190">
                  <c:v>19.8883102978368</c:v>
                </c:pt>
                <c:pt idx="191">
                  <c:v>19.670418865887</c:v>
                </c:pt>
                <c:pt idx="192">
                  <c:v>19.4532341857733</c:v>
                </c:pt>
                <c:pt idx="193">
                  <c:v>19.23673254388</c:v>
                </c:pt>
                <c:pt idx="194">
                  <c:v>19.0208907035315</c:v>
                </c:pt>
                <c:pt idx="195">
                  <c:v>18.8056859235853</c:v>
                </c:pt>
                <c:pt idx="196">
                  <c:v>18.5910959739553</c:v>
                </c:pt>
                <c:pt idx="197">
                  <c:v>18.3770991482648</c:v>
                </c:pt>
                <c:pt idx="198">
                  <c:v>18.1636742738271</c:v>
                </c:pt>
                <c:pt idx="199">
                  <c:v>17.9508007191488</c:v>
                </c:pt>
                <c:pt idx="200">
                  <c:v>17.7384583991391</c:v>
                </c:pt>
                <c:pt idx="201">
                  <c:v>17.5266277782101</c:v>
                </c:pt>
                <c:pt idx="202">
                  <c:v>17.3152898714392</c:v>
                </c:pt>
                <c:pt idx="203">
                  <c:v>17.1044262439601</c:v>
                </c:pt>
                <c:pt idx="204">
                  <c:v>16.8940190087409</c:v>
                </c:pt>
                <c:pt idx="205">
                  <c:v>16.6840508228989</c:v>
                </c:pt>
                <c:pt idx="206">
                  <c:v>16.4745048826941</c:v>
                </c:pt>
                <c:pt idx="207">
                  <c:v>16.2653649173332</c:v>
                </c:pt>
                <c:pt idx="208">
                  <c:v>16.0566151817081</c:v>
                </c:pt>
                <c:pt idx="209">
                  <c:v>15.8482404481879</c:v>
                </c:pt>
                <c:pt idx="210">
                  <c:v>15.6402259975676</c:v>
                </c:pt>
                <c:pt idx="211">
                  <c:v>15.4325576092764</c:v>
                </c:pt>
                <c:pt idx="212">
                  <c:v>15.2252215509354</c:v>
                </c:pt>
                <c:pt idx="213">
                  <c:v>15.018204567348</c:v>
                </c:pt>
                <c:pt idx="214">
                  <c:v>14.8114938690015</c:v>
                </c:pt>
                <c:pt idx="215">
                  <c:v>14.6050771201452</c:v>
                </c:pt>
                <c:pt idx="216">
                  <c:v>14.3989424265108</c:v>
                </c:pt>
                <c:pt idx="217">
                  <c:v>14.1930783227269</c:v>
                </c:pt>
                <c:pt idx="218">
                  <c:v>13.9874737594794</c:v>
                </c:pt>
                <c:pt idx="219">
                  <c:v>13.7821180904583</c:v>
                </c:pt>
                <c:pt idx="220">
                  <c:v>13.5770010591304</c:v>
                </c:pt>
                <c:pt idx="221">
                  <c:v>13.3721127853648</c:v>
                </c:pt>
                <c:pt idx="222">
                  <c:v>13.1674437519442</c:v>
                </c:pt>
                <c:pt idx="223">
                  <c:v>12.9629847909757</c:v>
                </c:pt>
                <c:pt idx="224">
                  <c:v>12.7587270702234</c:v>
                </c:pt>
                <c:pt idx="225">
                  <c:v>12.5546620793704</c:v>
                </c:pt>
                <c:pt idx="226">
                  <c:v>12.3507816162217</c:v>
                </c:pt>
                <c:pt idx="227">
                  <c:v>12.1470777728479</c:v>
                </c:pt>
                <c:pt idx="228">
                  <c:v>11.9435429216711</c:v>
                </c:pt>
                <c:pt idx="229">
                  <c:v>11.7401697014907</c:v>
                </c:pt>
                <c:pt idx="230">
                  <c:v>11.5369510034383</c:v>
                </c:pt>
                <c:pt idx="231">
                  <c:v>11.3338799568554</c:v>
                </c:pt>
                <c:pt idx="232">
                  <c:v>11.1309499150764</c:v>
                </c:pt>
                <c:pt idx="233">
                  <c:v>10.9281544411042</c:v>
                </c:pt>
                <c:pt idx="234">
                  <c:v>10.7254872931582</c:v>
                </c:pt>
                <c:pt idx="235">
                  <c:v>10.5229424100739</c:v>
                </c:pt>
                <c:pt idx="236">
                  <c:v>10.3205138965299</c:v>
                </c:pt>
                <c:pt idx="237">
                  <c:v>10.1181960080807</c:v>
                </c:pt>
                <c:pt idx="238">
                  <c:v>9.91598313596466</c:v>
                </c:pt>
                <c:pt idx="239">
                  <c:v>9.71386979166191</c:v>
                </c:pt>
                <c:pt idx="240">
                  <c:v>9.51185059117287</c:v>
                </c:pt>
                <c:pt idx="241">
                  <c:v>9.30992023898781</c:v>
                </c:pt>
                <c:pt idx="242">
                  <c:v>9.10807351171723</c:v>
                </c:pt>
                <c:pt idx="243">
                  <c:v>8.90630524135463</c:v>
                </c:pt>
                <c:pt idx="244">
                  <c:v>8.70461029814092</c:v>
                </c:pt>
                <c:pt idx="245">
                  <c:v>8.50298357300498</c:v>
                </c:pt>
                <c:pt idx="246">
                  <c:v>8.30141995955161</c:v>
                </c:pt>
                <c:pt idx="247">
                  <c:v>8.09991433557448</c:v>
                </c:pt>
                <c:pt idx="248">
                  <c:v>7.89846154407334</c:v>
                </c:pt>
                <c:pt idx="249">
                  <c:v>7.69705637375615</c:v>
                </c:pt>
                <c:pt idx="250">
                  <c:v>7.49569353901725</c:v>
                </c:pt>
                <c:pt idx="251">
                  <c:v>7.29436765937944</c:v>
                </c:pt>
                <c:pt idx="252">
                  <c:v>7.0930732384045</c:v>
                </c:pt>
                <c:pt idx="253">
                  <c:v>6.89180464207409</c:v>
                </c:pt>
                <c:pt idx="254">
                  <c:v>6.69055607665894</c:v>
                </c:pt>
                <c:pt idx="255">
                  <c:v>6.48932156610204</c:v>
                </c:pt>
                <c:pt idx="256">
                  <c:v>6.28809492894875</c:v>
                </c:pt>
                <c:pt idx="257">
                  <c:v>6.08686975487465</c:v>
                </c:pt>
                <c:pt idx="258">
                  <c:v>5.88563938087382</c:v>
                </c:pt>
                <c:pt idx="259">
                  <c:v>5.68439686718144</c:v>
                </c:pt>
                <c:pt idx="260">
                  <c:v>5.4831349730276</c:v>
                </c:pt>
                <c:pt idx="261">
                  <c:v>5.28184613233081</c:v>
                </c:pt>
                <c:pt idx="262">
                  <c:v>5.08052242946408</c:v>
                </c:pt>
                <c:pt idx="263">
                  <c:v>4.87915557524193</c:v>
                </c:pt>
                <c:pt idx="264">
                  <c:v>4.67773688330198</c:v>
                </c:pt>
                <c:pt idx="265">
                  <c:v>4.47625724707574</c:v>
                </c:pt>
                <c:pt idx="266">
                  <c:v>4.27470711756583</c:v>
                </c:pt>
                <c:pt idx="267">
                  <c:v>4.07307648217236</c:v>
                </c:pt>
                <c:pt idx="268">
                  <c:v>3.87135484483435</c:v>
                </c:pt>
                <c:pt idx="269">
                  <c:v>3.66953120777544</c:v>
                </c:pt>
                <c:pt idx="270">
                  <c:v>3.46759405516989</c:v>
                </c:pt>
                <c:pt idx="271">
                  <c:v>3.26553133906208</c:v>
                </c:pt>
                <c:pt idx="272">
                  <c:v>3.06333046790004</c:v>
                </c:pt>
                <c:pt idx="273">
                  <c:v>2.86097829805773</c:v>
                </c:pt>
                <c:pt idx="274">
                  <c:v>2.65846112873964</c:v>
                </c:pt>
                <c:pt idx="275">
                  <c:v>2.45576470067453</c:v>
                </c:pt>
                <c:pt idx="276">
                  <c:v>2.25287419901179</c:v>
                </c:pt>
                <c:pt idx="277">
                  <c:v>2.04977426084103</c:v>
                </c:pt>
                <c:pt idx="278">
                  <c:v>1.84644898775152</c:v>
                </c:pt>
                <c:pt idx="279">
                  <c:v>1.64288196384051</c:v>
                </c:pt>
                <c:pt idx="280">
                  <c:v>1.43905627956798</c:v>
                </c:pt>
                <c:pt idx="281">
                  <c:v>1.23495456182585</c:v>
                </c:pt>
                <c:pt idx="282">
                  <c:v>1.03055901056588</c:v>
                </c:pt>
                <c:pt idx="283">
                  <c:v>0.825851442284845</c:v>
                </c:pt>
                <c:pt idx="284">
                  <c:v>0.620813340621028</c:v>
                </c:pt>
                <c:pt idx="285">
                  <c:v>0.415425914252562</c:v>
                </c:pt>
                <c:pt idx="286">
                  <c:v>0.209670162224655</c:v>
                </c:pt>
                <c:pt idx="287">
                  <c:v>0.00352694675080745</c:v>
                </c:pt>
                <c:pt idx="288">
                  <c:v>-0.203022926549851</c:v>
                </c:pt>
                <c:pt idx="289">
                  <c:v>-0.409998621115111</c:v>
                </c:pt>
                <c:pt idx="290">
                  <c:v>-0.617419174839045</c:v>
                </c:pt>
                <c:pt idx="291">
                  <c:v>-0.825303398753415</c:v>
                </c:pt>
                <c:pt idx="292">
                  <c:v>-1.03366976945334</c:v>
                </c:pt>
                <c:pt idx="293">
                  <c:v>-1.24253631584224</c:v>
                </c:pt>
                <c:pt idx="294">
                  <c:v>-1.45192050089292</c:v>
                </c:pt>
                <c:pt idx="295">
                  <c:v>-1.66183909923822</c:v>
                </c:pt>
                <c:pt idx="296">
                  <c:v>-1.8723080715185</c:v>
                </c:pt>
                <c:pt idx="297">
                  <c:v>-2.08334243652305</c:v>
                </c:pt>
                <c:pt idx="298">
                  <c:v>-2.29495614226332</c:v>
                </c:pt>
                <c:pt idx="299">
                  <c:v>-2.50716193720448</c:v>
                </c:pt>
                <c:pt idx="300">
                  <c:v>-2.71997124296213</c:v>
                </c:pt>
                <c:pt idx="301">
                  <c:v>-2.93339402982823</c:v>
                </c:pt>
                <c:pt idx="302">
                  <c:v>-3.14743869653583</c:v>
                </c:pt>
                <c:pt idx="303">
                  <c:v>-3.36211195569834</c:v>
                </c:pt>
                <c:pt idx="304">
                  <c:v>-3.57741872635627</c:v>
                </c:pt>
                <c:pt idx="305">
                  <c:v>-3.79336203504946</c:v>
                </c:pt>
                <c:pt idx="306">
                  <c:v>-4.00994292678544</c:v>
                </c:pt>
                <c:pt idx="307">
                  <c:v>-4.22716038721024</c:v>
                </c:pt>
                <c:pt idx="308">
                  <c:v>-4.44501127719634</c:v>
                </c:pt>
                <c:pt idx="309">
                  <c:v>-4.66349028094806</c:v>
                </c:pt>
                <c:pt idx="310">
                  <c:v>-4.88258986859202</c:v>
                </c:pt>
                <c:pt idx="311">
                  <c:v>-5.10230027406477</c:v>
                </c:pt>
                <c:pt idx="312">
                  <c:v>-5.32260948894102</c:v>
                </c:pt>
                <c:pt idx="313">
                  <c:v>-5.54350327265366</c:v>
                </c:pt>
                <c:pt idx="314">
                  <c:v>-5.76496517936908</c:v>
                </c:pt>
                <c:pt idx="315">
                  <c:v>-5.98697660156679</c:v>
                </c:pt>
                <c:pt idx="316">
                  <c:v>-6.20951683017154</c:v>
                </c:pt>
                <c:pt idx="317">
                  <c:v>-6.43256313087013</c:v>
                </c:pt>
                <c:pt idx="318">
                  <c:v>-6.65609083604271</c:v>
                </c:pt>
                <c:pt idx="319">
                  <c:v>-6.88007345153883</c:v>
                </c:pt>
                <c:pt idx="320">
                  <c:v>-7.10448277734276</c:v>
                </c:pt>
                <c:pt idx="321">
                  <c:v>-7.32928904099473</c:v>
                </c:pt>
                <c:pt idx="322">
                  <c:v>-7.55446104248476</c:v>
                </c:pt>
                <c:pt idx="323">
                  <c:v>-7.77996630919707</c:v>
                </c:pt>
                <c:pt idx="324">
                  <c:v>-8.00577125937106</c:v>
                </c:pt>
                <c:pt idx="325">
                  <c:v>-8.23184137245726</c:v>
                </c:pt>
                <c:pt idx="326">
                  <c:v>-8.45814136468053</c:v>
                </c:pt>
                <c:pt idx="327">
                  <c:v>-8.6846353680907</c:v>
                </c:pt>
                <c:pt idx="328">
                  <c:v>-8.91128711136577</c:v>
                </c:pt>
                <c:pt idx="329">
                  <c:v>-9.13806010064884</c:v>
                </c:pt>
                <c:pt idx="330">
                  <c:v>-9.36491779874166</c:v>
                </c:pt>
                <c:pt idx="331">
                  <c:v>-9.59182380103686</c:v>
                </c:pt>
                <c:pt idx="332">
                  <c:v>-9.81874200666155</c:v>
                </c:pt>
                <c:pt idx="333">
                  <c:v>-10.0456367834</c:v>
                </c:pt>
                <c:pt idx="334">
                  <c:v>-10.2724731250931</c:v>
                </c:pt>
                <c:pt idx="335">
                  <c:v>-10.4992168003393</c:v>
                </c:pt>
                <c:pt idx="336">
                  <c:v>-10.7258344914701</c:v>
                </c:pt>
                <c:pt idx="337">
                  <c:v>-10.9522939229281</c:v>
                </c:pt>
                <c:pt idx="338">
                  <c:v>-11.1785639783297</c:v>
                </c:pt>
                <c:pt idx="339">
                  <c:v>-11.4046148056596</c:v>
                </c:pt>
                <c:pt idx="340">
                  <c:v>-11.6304179102002</c:v>
                </c:pt>
                <c:pt idx="341">
                  <c:v>-11.8559462349592</c:v>
                </c:pt>
                <c:pt idx="342">
                  <c:v>-12.0811742285064</c:v>
                </c:pt>
                <c:pt idx="343">
                  <c:v>-12.3060779002742</c:v>
                </c:pt>
                <c:pt idx="344">
                  <c:v>-12.5306348635127</c:v>
                </c:pt>
                <c:pt idx="345">
                  <c:v>-12.7548243662063</c:v>
                </c:pt>
                <c:pt idx="346">
                  <c:v>-12.9786273103765</c:v>
                </c:pt>
                <c:pt idx="347">
                  <c:v>-13.2020262602834</c:v>
                </c:pt>
                <c:pt idx="348">
                  <c:v>-13.4250054401307</c:v>
                </c:pt>
                <c:pt idx="349">
                  <c:v>-13.6475507219384</c:v>
                </c:pt>
                <c:pt idx="350">
                  <c:v>-13.869649604311</c:v>
                </c:pt>
                <c:pt idx="351">
                  <c:v>-14.0912911828638</c:v>
                </c:pt>
                <c:pt idx="352">
                  <c:v>-14.3124661131039</c:v>
                </c:pt>
                <c:pt idx="353">
                  <c:v>-14.533166566572</c:v>
                </c:pt>
                <c:pt idx="354">
                  <c:v>-14.7533861810631</c:v>
                </c:pt>
                <c:pt idx="355">
                  <c:v>-14.9731200057313</c:v>
                </c:pt>
                <c:pt idx="356">
                  <c:v>-15.1923644418726</c:v>
                </c:pt>
                <c:pt idx="357">
                  <c:v>-15.4111171801548</c:v>
                </c:pt>
                <c:pt idx="358">
                  <c:v>-15.6293771350329</c:v>
                </c:pt>
                <c:pt idx="359">
                  <c:v>-15.8471443770494</c:v>
                </c:pt>
                <c:pt idx="360">
                  <c:v>-16.0644200636826</c:v>
                </c:pt>
                <c:pt idx="361">
                  <c:v>-16.2812063693541</c:v>
                </c:pt>
                <c:pt idx="362">
                  <c:v>-16.4975064151641</c:v>
                </c:pt>
                <c:pt idx="363">
                  <c:v>-16.7133241988706</c:v>
                </c:pt>
                <c:pt idx="364">
                  <c:v>-16.9286645255794</c:v>
                </c:pt>
                <c:pt idx="365">
                  <c:v>-17.1435329395601</c:v>
                </c:pt>
                <c:pt idx="366">
                  <c:v>-17.357935657555</c:v>
                </c:pt>
                <c:pt idx="367">
                  <c:v>-17.571879503898</c:v>
                </c:pt>
                <c:pt idx="368">
                  <c:v>-17.785371847715</c:v>
                </c:pt>
                <c:pt idx="369">
                  <c:v>-17.9984205424303</c:v>
                </c:pt>
                <c:pt idx="370">
                  <c:v>-18.2110338677648</c:v>
                </c:pt>
                <c:pt idx="371">
                  <c:v>-18.4232204743702</c:v>
                </c:pt>
                <c:pt idx="372">
                  <c:v>-18.6349893312067</c:v>
                </c:pt>
                <c:pt idx="373">
                  <c:v>-18.8463496757386</c:v>
                </c:pt>
                <c:pt idx="374">
                  <c:v>-19.0573109669948</c:v>
                </c:pt>
                <c:pt idx="375">
                  <c:v>-19.2678828415078</c:v>
                </c:pt>
                <c:pt idx="376">
                  <c:v>-19.4780750721257</c:v>
                </c:pt>
                <c:pt idx="377">
                  <c:v>-19.6878975296687</c:v>
                </c:pt>
                <c:pt idx="378">
                  <c:v>-19.8973601473817</c:v>
                </c:pt>
                <c:pt idx="379">
                  <c:v>-20.1064728881212</c:v>
                </c:pt>
                <c:pt idx="380">
                  <c:v>-20.3152457141982</c:v>
                </c:pt>
                <c:pt idx="381">
                  <c:v>-20.5236885597892</c:v>
                </c:pt>
                <c:pt idx="382">
                  <c:v>-20.7318113058214</c:v>
                </c:pt>
                <c:pt idx="383">
                  <c:v>-20.939623757223</c:v>
                </c:pt>
                <c:pt idx="384">
                  <c:v>-21.1471356224352</c:v>
                </c:pt>
                <c:pt idx="385">
                  <c:v>-21.3543564950678</c:v>
                </c:pt>
                <c:pt idx="386">
                  <c:v>-21.5612958375874</c:v>
                </c:pt>
                <c:pt idx="387">
                  <c:v>-21.7679629669201</c:v>
                </c:pt>
                <c:pt idx="388">
                  <c:v>-21.9743670418541</c:v>
                </c:pt>
                <c:pt idx="389">
                  <c:v>-22.1805170521253</c:v>
                </c:pt>
                <c:pt idx="390">
                  <c:v>-22.3864218090767</c:v>
                </c:pt>
                <c:pt idx="391">
                  <c:v>-22.5920899377776</c:v>
                </c:pt>
                <c:pt idx="392">
                  <c:v>-22.7975298704977</c:v>
                </c:pt>
                <c:pt idx="393">
                  <c:v>-23.0027498414327</c:v>
                </c:pt>
                <c:pt idx="394">
                  <c:v>-23.20775788258</c:v>
                </c:pt>
                <c:pt idx="395">
                  <c:v>-23.4125618206721</c:v>
                </c:pt>
                <c:pt idx="396">
                  <c:v>-23.6171692750742</c:v>
                </c:pt>
                <c:pt idx="397">
                  <c:v>-23.821587656561</c:v>
                </c:pt>
                <c:pt idx="398">
                  <c:v>-24.0258241668915</c:v>
                </c:pt>
                <c:pt idx="399">
                  <c:v>-24.2298857991034</c:v>
                </c:pt>
                <c:pt idx="400">
                  <c:v>-24.4337793384563</c:v>
                </c:pt>
                <c:pt idx="401">
                  <c:v>-24.6375113639554</c:v>
                </c:pt>
                <c:pt idx="402">
                  <c:v>-24.841088250391</c:v>
                </c:pt>
                <c:pt idx="403">
                  <c:v>-25.0445161708371</c:v>
                </c:pt>
                <c:pt idx="404">
                  <c:v>-25.2478010995538</c:v>
                </c:pt>
                <c:pt idx="405">
                  <c:v>-25.4509488152409</c:v>
                </c:pt>
                <c:pt idx="406">
                  <c:v>-25.6539649045985</c:v>
                </c:pt>
                <c:pt idx="407">
                  <c:v>-25.8568547661501</c:v>
                </c:pt>
                <c:pt idx="408">
                  <c:v>-26.0596236142888</c:v>
                </c:pt>
                <c:pt idx="409">
                  <c:v>-26.2622764835109</c:v>
                </c:pt>
                <c:pt idx="410">
                  <c:v>-26.4648182328031</c:v>
                </c:pt>
                <c:pt idx="411">
                  <c:v>-26.6672535501547</c:v>
                </c:pt>
                <c:pt idx="412">
                  <c:v>-26.869586957166</c:v>
                </c:pt>
                <c:pt idx="413">
                  <c:v>-27.0718228137288</c:v>
                </c:pt>
                <c:pt idx="414">
                  <c:v>-27.2739653227577</c:v>
                </c:pt>
                <c:pt idx="415">
                  <c:v>-27.4760185349511</c:v>
                </c:pt>
                <c:pt idx="416">
                  <c:v>-27.6779863535654</c:v>
                </c:pt>
                <c:pt idx="417">
                  <c:v>-27.879872539186</c:v>
                </c:pt>
                <c:pt idx="418">
                  <c:v>-28.0816807144803</c:v>
                </c:pt>
                <c:pt idx="419">
                  <c:v>-28.283414368923</c:v>
                </c:pt>
                <c:pt idx="420">
                  <c:v>-28.4850768634802</c:v>
                </c:pt>
                <c:pt idx="421">
                  <c:v>-28.6866714352449</c:v>
                </c:pt>
                <c:pt idx="422">
                  <c:v>-28.8882012020156</c:v>
                </c:pt>
                <c:pt idx="423">
                  <c:v>-29.0896691668103</c:v>
                </c:pt>
                <c:pt idx="424">
                  <c:v>-29.2910782223123</c:v>
                </c:pt>
                <c:pt idx="425">
                  <c:v>-29.4924311552407</c:v>
                </c:pt>
                <c:pt idx="426">
                  <c:v>-29.6937306506447</c:v>
                </c:pt>
                <c:pt idx="427">
                  <c:v>-29.894979296116</c:v>
                </c:pt>
                <c:pt idx="428">
                  <c:v>-30.0961795859192</c:v>
                </c:pt>
                <c:pt idx="429">
                  <c:v>-30.2973339250379</c:v>
                </c:pt>
                <c:pt idx="430">
                  <c:v>-30.4984446331366</c:v>
                </c:pt>
                <c:pt idx="431">
                  <c:v>-30.6995139484361</c:v>
                </c:pt>
                <c:pt idx="432">
                  <c:v>-30.9005440315066</c:v>
                </c:pt>
                <c:pt idx="433">
                  <c:v>-31.1015369689736</c:v>
                </c:pt>
                <c:pt idx="434">
                  <c:v>-31.3024947771433</c:v>
                </c:pt>
                <c:pt idx="435">
                  <c:v>-31.5034194055457</c:v>
                </c:pt>
                <c:pt idx="436">
                  <c:v>-31.7043127403972</c:v>
                </c:pt>
                <c:pt idx="437">
                  <c:v>-31.9051766079873</c:v>
                </c:pt>
                <c:pt idx="438">
                  <c:v>-32.1060127779893</c:v>
                </c:pt>
                <c:pt idx="439">
                  <c:v>-32.3068229666981</c:v>
                </c:pt>
                <c:pt idx="440">
                  <c:v>-32.507608840199</c:v>
                </c:pt>
                <c:pt idx="441">
                  <c:v>-32.7083720174686</c:v>
                </c:pt>
                <c:pt idx="442">
                  <c:v>-32.9091140734143</c:v>
                </c:pt>
                <c:pt idx="443">
                  <c:v>-33.1098365418504</c:v>
                </c:pt>
                <c:pt idx="444">
                  <c:v>-33.3105409184199</c:v>
                </c:pt>
                <c:pt idx="445">
                  <c:v>-33.5112286634612</c:v>
                </c:pt>
                <c:pt idx="446">
                  <c:v>-33.7119012048267</c:v>
                </c:pt>
                <c:pt idx="447">
                  <c:v>-33.9125599406532</c:v>
                </c:pt>
                <c:pt idx="448">
                  <c:v>-34.1132062420921</c:v>
                </c:pt>
                <c:pt idx="449">
                  <c:v>-34.313841456</c:v>
                </c:pt>
                <c:pt idx="450">
                  <c:v>-34.5144669075958</c:v>
                </c:pt>
                <c:pt idx="451">
                  <c:v>-34.7150839030862</c:v>
                </c:pt>
                <c:pt idx="452">
                  <c:v>-34.915693732266</c:v>
                </c:pt>
                <c:pt idx="453">
                  <c:v>-35.1162976710952</c:v>
                </c:pt>
                <c:pt idx="454">
                  <c:v>-35.3168969842592</c:v>
                </c:pt>
                <c:pt idx="455">
                  <c:v>-35.5174929277143</c:v>
                </c:pt>
                <c:pt idx="456">
                  <c:v>-35.7180867512235</c:v>
                </c:pt>
                <c:pt idx="457">
                  <c:v>-35.9186797008879</c:v>
                </c:pt>
                <c:pt idx="458">
                  <c:v>-36.1192730216766</c:v>
                </c:pt>
                <c:pt idx="459">
                  <c:v>-36.3198679599599</c:v>
                </c:pt>
                <c:pt idx="460">
                  <c:v>-36.520465766052</c:v>
                </c:pt>
                <c:pt idx="461">
                  <c:v>-36.7210676967642</c:v>
                </c:pt>
                <c:pt idx="462">
                  <c:v>-36.9216750179774</c:v>
                </c:pt>
                <c:pt idx="463">
                  <c:v>-37.1222890072352</c:v>
                </c:pt>
                <c:pt idx="464">
                  <c:v>-37.3229109563634</c:v>
                </c:pt>
                <c:pt idx="465">
                  <c:v>-37.5235421741227</c:v>
                </c:pt>
                <c:pt idx="466">
                  <c:v>-37.7241839888952</c:v>
                </c:pt>
                <c:pt idx="467">
                  <c:v>-37.9248377514146</c:v>
                </c:pt>
                <c:pt idx="468">
                  <c:v>-38.1255048375409</c:v>
                </c:pt>
                <c:pt idx="469">
                  <c:v>-38.326186651088</c:v>
                </c:pt>
                <c:pt idx="470">
                  <c:v>-38.5268846267066</c:v>
                </c:pt>
                <c:pt idx="471">
                  <c:v>-38.7276002328306</c:v>
                </c:pt>
                <c:pt idx="472">
                  <c:v>-38.92833497469</c:v>
                </c:pt>
                <c:pt idx="473">
                  <c:v>-39.1290903973965</c:v>
                </c:pt>
                <c:pt idx="474">
                  <c:v>-39.3298680891099</c:v>
                </c:pt>
                <c:pt idx="475">
                  <c:v>-39.5306696842858</c:v>
                </c:pt>
                <c:pt idx="476">
                  <c:v>-39.7314968670161</c:v>
                </c:pt>
                <c:pt idx="477">
                  <c:v>-39.9323513744657</c:v>
                </c:pt>
                <c:pt idx="478">
                  <c:v>-40.1332350004095</c:v>
                </c:pt>
                <c:pt idx="479">
                  <c:v>-40.3341495988819</c:v>
                </c:pt>
                <c:pt idx="480">
                  <c:v>-40.5350970879384</c:v>
                </c:pt>
                <c:pt idx="481">
                  <c:v>-40.7360794535401</c:v>
                </c:pt>
                <c:pt idx="482">
                  <c:v>-40.9370987535683</c:v>
                </c:pt>
                <c:pt idx="483">
                  <c:v>-41.1381571219716</c:v>
                </c:pt>
                <c:pt idx="484">
                  <c:v>-41.3392567730583</c:v>
                </c:pt>
                <c:pt idx="485">
                  <c:v>-41.5404000059368</c:v>
                </c:pt>
                <c:pt idx="486">
                  <c:v>-41.7415892091136</c:v>
                </c:pt>
                <c:pt idx="487">
                  <c:v>-41.9428268652555</c:v>
                </c:pt>
                <c:pt idx="488">
                  <c:v>-42.1441155561243</c:v>
                </c:pt>
                <c:pt idx="489">
                  <c:v>-42.3454579676909</c:v>
                </c:pt>
                <c:pt idx="490">
                  <c:v>-42.5468568954372</c:v>
                </c:pt>
                <c:pt idx="491">
                  <c:v>-42.748315249854</c:v>
                </c:pt>
                <c:pt idx="492">
                  <c:v>-42.9498360621429</c:v>
                </c:pt>
                <c:pt idx="493">
                  <c:v>-43.1514224901304</c:v>
                </c:pt>
                <c:pt idx="494">
                  <c:v>-43.353077824402</c:v>
                </c:pt>
                <c:pt idx="495">
                  <c:v>-43.5548054946669</c:v>
                </c:pt>
                <c:pt idx="496">
                  <c:v>-43.756609076359</c:v>
                </c:pt>
                <c:pt idx="497">
                  <c:v>-43.9584922974844</c:v>
                </c:pt>
                <c:pt idx="498">
                  <c:v>-44.1604590457252</c:v>
                </c:pt>
                <c:pt idx="499">
                  <c:v>-44.3625133758051</c:v>
                </c:pt>
                <c:pt idx="500">
                  <c:v>-44.564659517129</c:v>
                </c:pt>
                <c:pt idx="501">
                  <c:v>-44.7669018817022</c:v>
                </c:pt>
                <c:pt idx="502">
                  <c:v>-44.9692450723402</c:v>
                </c:pt>
                <c:pt idx="503">
                  <c:v>-45.1716938911755</c:v>
                </c:pt>
                <c:pt idx="504">
                  <c:v>-45.3742533484719</c:v>
                </c:pt>
                <c:pt idx="505">
                  <c:v>-45.5769286717511</c:v>
                </c:pt>
                <c:pt idx="506">
                  <c:v>-45.7797253152432</c:v>
                </c:pt>
                <c:pt idx="507">
                  <c:v>-45.9826489696652</c:v>
                </c:pt>
                <c:pt idx="508">
                  <c:v>-46.1857055723371</c:v>
                </c:pt>
                <c:pt idx="509">
                  <c:v>-46.3889013176405</c:v>
                </c:pt>
                <c:pt idx="510">
                  <c:v>-46.5922426678256</c:v>
                </c:pt>
                <c:pt idx="511">
                  <c:v>-46.7957363641738</c:v>
                </c:pt>
                <c:pt idx="512">
                  <c:v>-46.9993894385188</c:v>
                </c:pt>
                <c:pt idx="513">
                  <c:v>-47.20320922513</c:v>
                </c:pt>
                <c:pt idx="514">
                  <c:v>-47.4072033729622</c:v>
                </c:pt>
                <c:pt idx="515">
                  <c:v>-47.6113798582715</c:v>
                </c:pt>
                <c:pt idx="516">
                  <c:v>-47.8157469975996</c:v>
                </c:pt>
                <c:pt idx="517">
                  <c:v>-48.0203134611249</c:v>
                </c:pt>
                <c:pt idx="518">
                  <c:v>-48.2250882863768</c:v>
                </c:pt>
                <c:pt idx="519">
                  <c:v>-48.4300808923099</c:v>
                </c:pt>
                <c:pt idx="520">
                  <c:v>-48.6353010937338</c:v>
                </c:pt>
                <c:pt idx="521">
                  <c:v>-48.8407591160855</c:v>
                </c:pt>
                <c:pt idx="522">
                  <c:v>-49.0464656105384</c:v>
                </c:pt>
                <c:pt idx="523">
                  <c:v>-49.2524316694323</c:v>
                </c:pt>
                <c:pt idx="524">
                  <c:v>-49.4586688420095</c:v>
                </c:pt>
                <c:pt idx="525">
                  <c:v>-49.6651891504376</c:v>
                </c:pt>
                <c:pt idx="526">
                  <c:v>-49.872005106095</c:v>
                </c:pt>
                <c:pt idx="527">
                  <c:v>-50.0791297260974</c:v>
                </c:pt>
                <c:pt idx="528">
                  <c:v>-50.2865765500313</c:v>
                </c:pt>
                <c:pt idx="529">
                  <c:v>-50.4943596568614</c:v>
                </c:pt>
                <c:pt idx="530">
                  <c:v>-50.7024936819763</c:v>
                </c:pt>
                <c:pt idx="531">
                  <c:v>-50.9109938343241</c:v>
                </c:pt>
                <c:pt idx="532">
                  <c:v>-51.1198759135944</c:v>
                </c:pt>
                <c:pt idx="533">
                  <c:v>-51.3291563273891</c:v>
                </c:pt>
                <c:pt idx="534">
                  <c:v>-51.5388521083235</c:v>
                </c:pt>
                <c:pt idx="535">
                  <c:v>-51.7489809309924</c:v>
                </c:pt>
                <c:pt idx="536">
                  <c:v>-51.9595611287261</c:v>
                </c:pt>
                <c:pt idx="537">
                  <c:v>-52.1706117100599</c:v>
                </c:pt>
                <c:pt idx="538">
                  <c:v>-52.3821523748283</c:v>
                </c:pt>
                <c:pt idx="539">
                  <c:v>-52.5942035297907</c:v>
                </c:pt>
                <c:pt idx="540">
                  <c:v>-52.8067863036865</c:v>
                </c:pt>
                <c:pt idx="541">
                  <c:v>-53.01992256161</c:v>
                </c:pt>
              </c:numCache>
            </c:numRef>
          </c:yVal>
          <c:smooth val="1"/>
        </c:ser>
        <c:dLbls>
          <c:showLegendKey val="0"/>
          <c:showVal val="0"/>
          <c:showCatName val="0"/>
          <c:showSerName val="0"/>
          <c:showPercent val="0"/>
          <c:showBubbleSize val="0"/>
        </c:dLbls>
        <c:axId val="178953600"/>
        <c:axId val="178959872"/>
      </c:scatterChart>
      <c:scatterChart>
        <c:scatterStyle val="smooth"/>
        <c:varyColors val="0"/>
        <c:ser>
          <c:idx val="1"/>
          <c:order val="1"/>
          <c:spPr>
            <a:ln w="38100" cap="rnd" cmpd="sng" algn="ctr">
              <a:solidFill>
                <a:schemeClr val="tx1">
                  <a:lumMod val="95000"/>
                  <a:lumOff val="5000"/>
                </a:schemeClr>
              </a:solidFill>
              <a:prstDash val="sysDash"/>
              <a:round/>
            </a:ln>
          </c:spPr>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Loop_Modeling!$BM$19:$BM$560</c:f>
              <c:numCache>
                <c:formatCode>General</c:formatCode>
                <c:ptCount val="542"/>
                <c:pt idx="0">
                  <c:v>87.0608655879368</c:v>
                </c:pt>
                <c:pt idx="1">
                  <c:v>86.9929407220514</c:v>
                </c:pt>
                <c:pt idx="2">
                  <c:v>86.9234717850217</c:v>
                </c:pt>
                <c:pt idx="3">
                  <c:v>86.8524255045374</c:v>
                </c:pt>
                <c:pt idx="4">
                  <c:v>86.7797680221474</c:v>
                </c:pt>
                <c:pt idx="5">
                  <c:v>86.7054648926612</c:v>
                </c:pt>
                <c:pt idx="6">
                  <c:v>86.6294810844135</c:v>
                </c:pt>
                <c:pt idx="7">
                  <c:v>86.5517809804722</c:v>
                </c:pt>
                <c:pt idx="8">
                  <c:v>86.4723283808693</c:v>
                </c:pt>
                <c:pt idx="9">
                  <c:v>86.391086505943</c:v>
                </c:pt>
                <c:pt idx="10">
                  <c:v>86.3080180008819</c:v>
                </c:pt>
                <c:pt idx="11">
                  <c:v>86.2230849415726</c:v>
                </c:pt>
                <c:pt idx="12">
                  <c:v>86.1362488418524</c:v>
                </c:pt>
                <c:pt idx="13">
                  <c:v>86.0474706622805</c:v>
                </c:pt>
                <c:pt idx="14">
                  <c:v>85.9567108205452</c:v>
                </c:pt>
                <c:pt idx="15">
                  <c:v>85.8639292036307</c:v>
                </c:pt>
                <c:pt idx="16">
                  <c:v>85.7690851818785</c:v>
                </c:pt>
                <c:pt idx="17">
                  <c:v>85.6721376250809</c:v>
                </c:pt>
                <c:pt idx="18">
                  <c:v>85.5730449207569</c:v>
                </c:pt>
                <c:pt idx="19">
                  <c:v>85.4717649947648</c:v>
                </c:pt>
                <c:pt idx="20">
                  <c:v>85.3682553344175</c:v>
                </c:pt>
                <c:pt idx="21">
                  <c:v>85.2624730142743</c:v>
                </c:pt>
                <c:pt idx="22">
                  <c:v>85.1543747247906</c:v>
                </c:pt>
                <c:pt idx="23">
                  <c:v>85.0439168040176</c:v>
                </c:pt>
                <c:pt idx="24">
                  <c:v>84.9310552725556</c:v>
                </c:pt>
                <c:pt idx="25">
                  <c:v>84.8157458719658</c:v>
                </c:pt>
                <c:pt idx="26">
                  <c:v>84.6979441068691</c:v>
                </c:pt>
                <c:pt idx="27">
                  <c:v>84.5776052909545</c:v>
                </c:pt>
                <c:pt idx="28">
                  <c:v>84.4546845971419</c:v>
                </c:pt>
                <c:pt idx="29">
                  <c:v>84.329137112146</c:v>
                </c:pt>
                <c:pt idx="30">
                  <c:v>84.2009178957025</c:v>
                </c:pt>
                <c:pt idx="31">
                  <c:v>84.0699820447221</c:v>
                </c:pt>
                <c:pt idx="32">
                  <c:v>83.9362847626533</c:v>
                </c:pt>
                <c:pt idx="33">
                  <c:v>83.7997814343347</c:v>
                </c:pt>
                <c:pt idx="34">
                  <c:v>83.6604277066356</c:v>
                </c:pt>
                <c:pt idx="35">
                  <c:v>83.5181795751816</c:v>
                </c:pt>
                <c:pt idx="36">
                  <c:v>83.3729934774738</c:v>
                </c:pt>
                <c:pt idx="37">
                  <c:v>83.2248263927137</c:v>
                </c:pt>
                <c:pt idx="38">
                  <c:v>83.073635948651</c:v>
                </c:pt>
                <c:pt idx="39">
                  <c:v>82.9193805357692</c:v>
                </c:pt>
                <c:pt idx="40">
                  <c:v>82.7620194291338</c:v>
                </c:pt>
                <c:pt idx="41">
                  <c:v>82.6015129182173</c:v>
                </c:pt>
                <c:pt idx="42">
                  <c:v>82.4378224450161</c:v>
                </c:pt>
                <c:pt idx="43">
                  <c:v>82.2709107507712</c:v>
                </c:pt>
                <c:pt idx="44">
                  <c:v>82.1007420315883</c:v>
                </c:pt>
                <c:pt idx="45">
                  <c:v>81.9272821032482</c:v>
                </c:pt>
                <c:pt idx="46">
                  <c:v>81.7504985754792</c:v>
                </c:pt>
                <c:pt idx="47">
                  <c:v>81.5703610359434</c:v>
                </c:pt>
                <c:pt idx="48">
                  <c:v>81.3868412441658</c:v>
                </c:pt>
                <c:pt idx="49">
                  <c:v>81.1999133356069</c:v>
                </c:pt>
                <c:pt idx="50">
                  <c:v>81.009554036045</c:v>
                </c:pt>
                <c:pt idx="51">
                  <c:v>80.8157428863931</c:v>
                </c:pt>
                <c:pt idx="52">
                  <c:v>80.618462478034</c:v>
                </c:pt>
                <c:pt idx="53">
                  <c:v>80.4176986987003</c:v>
                </c:pt>
                <c:pt idx="54">
                  <c:v>80.2134409888693</c:v>
                </c:pt>
                <c:pt idx="55">
                  <c:v>80.0056826085781</c:v>
                </c:pt>
                <c:pt idx="56">
                  <c:v>79.7944209144855</c:v>
                </c:pt>
                <c:pt idx="57">
                  <c:v>79.5796576469282</c:v>
                </c:pt>
                <c:pt idx="58">
                  <c:v>79.3613992266285</c:v>
                </c:pt>
                <c:pt idx="59">
                  <c:v>79.1396570606085</c:v>
                </c:pt>
                <c:pt idx="60">
                  <c:v>78.914447856761</c:v>
                </c:pt>
                <c:pt idx="61">
                  <c:v>78.6857939464056</c:v>
                </c:pt>
                <c:pt idx="62">
                  <c:v>78.4537236140386</c:v>
                </c:pt>
                <c:pt idx="63">
                  <c:v>78.218271433344</c:v>
                </c:pt>
                <c:pt idx="64">
                  <c:v>77.9794786083943</c:v>
                </c:pt>
                <c:pt idx="65">
                  <c:v>77.7373933188155</c:v>
                </c:pt>
                <c:pt idx="66">
                  <c:v>77.4920710675351</c:v>
                </c:pt>
                <c:pt idx="67">
                  <c:v>77.2435750295616</c:v>
                </c:pt>
                <c:pt idx="68">
                  <c:v>76.9919764000788</c:v>
                </c:pt>
                <c:pt idx="69">
                  <c:v>76.7373547399585</c:v>
                </c:pt>
                <c:pt idx="70">
                  <c:v>76.4797983166185</c:v>
                </c:pt>
                <c:pt idx="71">
                  <c:v>76.2194044379759</c:v>
                </c:pt>
                <c:pt idx="72">
                  <c:v>75.956279777063</c:v>
                </c:pt>
                <c:pt idx="73">
                  <c:v>75.690540684701</c:v>
                </c:pt>
                <c:pt idx="74">
                  <c:v>75.4223134874595</c:v>
                </c:pt>
                <c:pt idx="75">
                  <c:v>75.1517347679625</c:v>
                </c:pt>
                <c:pt idx="76">
                  <c:v>74.8789516244595</c:v>
                </c:pt>
                <c:pt idx="77">
                  <c:v>74.6041219064408</c:v>
                </c:pt>
                <c:pt idx="78">
                  <c:v>74.3274144229622</c:v>
                </c:pt>
                <c:pt idx="79">
                  <c:v>74.0490091202488</c:v>
                </c:pt>
                <c:pt idx="80">
                  <c:v>73.7690972250753</c:v>
                </c:pt>
                <c:pt idx="81">
                  <c:v>73.4878813503877</c:v>
                </c:pt>
                <c:pt idx="82">
                  <c:v>73.2055755596078</c:v>
                </c:pt>
                <c:pt idx="83">
                  <c:v>72.9224053861071</c:v>
                </c:pt>
                <c:pt idx="84">
                  <c:v>72.6386078043867</c:v>
                </c:pt>
                <c:pt idx="85">
                  <c:v>72.354431149619</c:v>
                </c:pt>
                <c:pt idx="86">
                  <c:v>72.070134982352</c:v>
                </c:pt>
                <c:pt idx="87">
                  <c:v>71.7859898953827</c:v>
                </c:pt>
                <c:pt idx="88">
                  <c:v>71.5022772600414</c:v>
                </c:pt>
                <c:pt idx="89">
                  <c:v>71.2192889094394</c:v>
                </c:pt>
                <c:pt idx="90">
                  <c:v>70.9373267565585</c:v>
                </c:pt>
                <c:pt idx="91">
                  <c:v>70.6567023454672</c:v>
                </c:pt>
                <c:pt idx="92">
                  <c:v>70.3777363343742</c:v>
                </c:pt>
                <c:pt idx="93">
                  <c:v>70.1007579097172</c:v>
                </c:pt>
                <c:pt idx="94">
                  <c:v>69.8261041310004</c:v>
                </c:pt>
                <c:pt idx="95">
                  <c:v>69.5541192066545</c:v>
                </c:pt>
                <c:pt idx="96">
                  <c:v>69.2851537017735</c:v>
                </c:pt>
                <c:pt idx="97">
                  <c:v>69.0195636791957</c:v>
                </c:pt>
                <c:pt idx="98">
                  <c:v>68.7577097760196</c:v>
                </c:pt>
                <c:pt idx="99">
                  <c:v>68.4999562182831</c:v>
                </c:pt>
                <c:pt idx="100">
                  <c:v>68.2466697771706</c:v>
                </c:pt>
                <c:pt idx="101">
                  <c:v>67.9982186707408</c:v>
                </c:pt>
                <c:pt idx="102">
                  <c:v>67.7549714157821</c:v>
                </c:pt>
                <c:pt idx="103">
                  <c:v>67.5172956349962</c:v>
                </c:pt>
                <c:pt idx="104">
                  <c:v>67.2855568252566</c:v>
                </c:pt>
                <c:pt idx="105">
                  <c:v>67.060117093217</c:v>
                </c:pt>
                <c:pt idx="106">
                  <c:v>66.8413338650024</c:v>
                </c:pt>
                <c:pt idx="107">
                  <c:v>66.6295585771325</c:v>
                </c:pt>
                <c:pt idx="108">
                  <c:v>66.4251353561723</c:v>
                </c:pt>
                <c:pt idx="109">
                  <c:v>66.2283996948976</c:v>
                </c:pt>
                <c:pt idx="110">
                  <c:v>66.0396771329656</c:v>
                </c:pt>
                <c:pt idx="111">
                  <c:v>65.8592819502329</c:v>
                </c:pt>
                <c:pt idx="112">
                  <c:v>65.6875158809197</c:v>
                </c:pt>
                <c:pt idx="113">
                  <c:v>65.5246668568097</c:v>
                </c:pt>
                <c:pt idx="114">
                  <c:v>65.3710077876017</c:v>
                </c:pt>
                <c:pt idx="115">
                  <c:v>65.2267953863475</c:v>
                </c:pt>
                <c:pt idx="116">
                  <c:v>65.0922690477019</c:v>
                </c:pt>
                <c:pt idx="117">
                  <c:v>64.9676497864022</c:v>
                </c:pt>
                <c:pt idx="118">
                  <c:v>64.8531392430261</c:v>
                </c:pt>
                <c:pt idx="119">
                  <c:v>64.7489187636717</c:v>
                </c:pt>
                <c:pt idx="120">
                  <c:v>64.6551485597044</c:v>
                </c:pt>
                <c:pt idx="121">
                  <c:v>64.5719669532088</c:v>
                </c:pt>
                <c:pt idx="122">
                  <c:v>64.4994897131977</c:v>
                </c:pt>
                <c:pt idx="123">
                  <c:v>64.437809487031</c:v>
                </c:pt>
                <c:pt idx="124">
                  <c:v>64.3869953308465</c:v>
                </c:pt>
                <c:pt idx="125">
                  <c:v>64.3470923421434</c:v>
                </c:pt>
                <c:pt idx="126">
                  <c:v>64.3181213969579</c:v>
                </c:pt>
                <c:pt idx="127">
                  <c:v>64.3000789933639</c:v>
                </c:pt>
                <c:pt idx="128">
                  <c:v>64.2929372023143</c:v>
                </c:pt>
                <c:pt idx="129">
                  <c:v>64.2966437261015</c:v>
                </c:pt>
                <c:pt idx="130">
                  <c:v>64.311122063994</c:v>
                </c:pt>
                <c:pt idx="131">
                  <c:v>64.3362717838682</c:v>
                </c:pt>
                <c:pt idx="132">
                  <c:v>64.3719688979468</c:v>
                </c:pt>
                <c:pt idx="133">
                  <c:v>64.4180663400387</c:v>
                </c:pt>
                <c:pt idx="134">
                  <c:v>64.4743945409916</c:v>
                </c:pt>
                <c:pt idx="135">
                  <c:v>64.5407620984045</c:v>
                </c:pt>
                <c:pt idx="136">
                  <c:v>64.6169565360066</c:v>
                </c:pt>
                <c:pt idx="137">
                  <c:v>64.7027451475147</c:v>
                </c:pt>
                <c:pt idx="138">
                  <c:v>64.7978759192111</c:v>
                </c:pt>
                <c:pt idx="139">
                  <c:v>64.902078524976</c:v>
                </c:pt>
                <c:pt idx="140">
                  <c:v>65.0150653870317</c:v>
                </c:pt>
                <c:pt idx="141">
                  <c:v>65.1365327952623</c:v>
                </c:pt>
                <c:pt idx="142">
                  <c:v>65.266162077599</c:v>
                </c:pt>
                <c:pt idx="143">
                  <c:v>65.4036208137069</c:v>
                </c:pt>
                <c:pt idx="144">
                  <c:v>65.548564083965</c:v>
                </c:pt>
                <c:pt idx="145">
                  <c:v>65.7006357456078</c:v>
                </c:pt>
                <c:pt idx="146">
                  <c:v>65.8594697278179</c:v>
                </c:pt>
                <c:pt idx="147">
                  <c:v>66.024691337567</c:v>
                </c:pt>
                <c:pt idx="148">
                  <c:v>66.1959185680852</c:v>
                </c:pt>
                <c:pt idx="149">
                  <c:v>66.3727634019953</c:v>
                </c:pt>
                <c:pt idx="150">
                  <c:v>66.5548331013755</c:v>
                </c:pt>
                <c:pt idx="151">
                  <c:v>66.741731477316</c:v>
                </c:pt>
                <c:pt idx="152">
                  <c:v>66.933060131893</c:v>
                </c:pt>
                <c:pt idx="153">
                  <c:v>67.1284196659198</c:v>
                </c:pt>
                <c:pt idx="154">
                  <c:v>67.327410846296</c:v>
                </c:pt>
                <c:pt idx="155">
                  <c:v>67.529635727317</c:v>
                </c:pt>
                <c:pt idx="156">
                  <c:v>67.7346987208579</c:v>
                </c:pt>
                <c:pt idx="157">
                  <c:v>67.9422076109506</c:v>
                </c:pt>
                <c:pt idx="158">
                  <c:v>68.1517745088802</c:v>
                </c:pt>
                <c:pt idx="159">
                  <c:v>68.3630167455731</c:v>
                </c:pt>
                <c:pt idx="160">
                  <c:v>68.5755576986683</c:v>
                </c:pt>
                <c:pt idx="161">
                  <c:v>68.7890275523133</c:v>
                </c:pt>
                <c:pt idx="162">
                  <c:v>69.0030639883398</c:v>
                </c:pt>
                <c:pt idx="163">
                  <c:v>69.2173128080824</c:v>
                </c:pt>
                <c:pt idx="164">
                  <c:v>69.4314284846834</c:v>
                </c:pt>
                <c:pt idx="165">
                  <c:v>69.6450746462692</c:v>
                </c:pt>
                <c:pt idx="166">
                  <c:v>69.8579244909075</c:v>
                </c:pt>
                <c:pt idx="167">
                  <c:v>70.0696611347123</c:v>
                </c:pt>
                <c:pt idx="168">
                  <c:v>70.2799778949014</c:v>
                </c:pt>
                <c:pt idx="169">
                  <c:v>70.4885785099819</c:v>
                </c:pt>
                <c:pt idx="170">
                  <c:v>70.695177299586</c:v>
                </c:pt>
                <c:pt idx="171">
                  <c:v>70.8994992667475</c:v>
                </c:pt>
                <c:pt idx="172">
                  <c:v>71.1012801456576</c:v>
                </c:pt>
                <c:pt idx="173">
                  <c:v>71.3002663981217</c:v>
                </c:pt>
                <c:pt idx="174">
                  <c:v>71.4962151620811</c:v>
                </c:pt>
                <c:pt idx="175">
                  <c:v>71.688894155665</c:v>
                </c:pt>
                <c:pt idx="176">
                  <c:v>71.8780815402926</c:v>
                </c:pt>
                <c:pt idx="177">
                  <c:v>72.0635657463642</c:v>
                </c:pt>
                <c:pt idx="178">
                  <c:v>72.2451452650684</c:v>
                </c:pt>
                <c:pt idx="179">
                  <c:v>72.4226284097803</c:v>
                </c:pt>
                <c:pt idx="180">
                  <c:v>72.5958330504487</c:v>
                </c:pt>
                <c:pt idx="181">
                  <c:v>72.7645863242812</c:v>
                </c:pt>
                <c:pt idx="182">
                  <c:v>72.9287243258994</c:v>
                </c:pt>
                <c:pt idx="183">
                  <c:v>73.088091780011</c:v>
                </c:pt>
                <c:pt idx="184">
                  <c:v>73.2425416994908</c:v>
                </c:pt>
                <c:pt idx="185">
                  <c:v>73.3919350315912</c:v>
                </c:pt>
                <c:pt idx="186">
                  <c:v>73.5361402948487</c:v>
                </c:pt>
                <c:pt idx="187">
                  <c:v>73.6750332090578</c:v>
                </c:pt>
                <c:pt idx="188">
                  <c:v>73.8084963205214</c:v>
                </c:pt>
                <c:pt idx="189">
                  <c:v>73.9364186245994</c:v>
                </c:pt>
                <c:pt idx="190">
                  <c:v>74.0586951873966</c:v>
                </c:pt>
                <c:pt idx="191">
                  <c:v>74.1752267682711</c:v>
                </c:pt>
                <c:pt idx="192">
                  <c:v>74.2859194446552</c:v>
                </c:pt>
                <c:pt idx="193">
                  <c:v>74.3906842405315</c:v>
                </c:pt>
                <c:pt idx="194">
                  <c:v>74.4894367597475</c:v>
                </c:pt>
                <c:pt idx="195">
                  <c:v>74.582096825194</c:v>
                </c:pt>
                <c:pt idx="196">
                  <c:v>74.6685881247442</c:v>
                </c:pt>
                <c:pt idx="197">
                  <c:v>74.7488378647091</c:v>
                </c:pt>
                <c:pt idx="198">
                  <c:v>74.8227764314407</c:v>
                </c:pt>
                <c:pt idx="199">
                  <c:v>74.8903370616092</c:v>
                </c:pt>
                <c:pt idx="200">
                  <c:v>74.9514555215627</c:v>
                </c:pt>
                <c:pt idx="201">
                  <c:v>75.0060697960883</c:v>
                </c:pt>
                <c:pt idx="202">
                  <c:v>75.0541197868082</c:v>
                </c:pt>
                <c:pt idx="203">
                  <c:v>75.0955470203536</c:v>
                </c:pt>
                <c:pt idx="204">
                  <c:v>75.1302943664016</c:v>
                </c:pt>
                <c:pt idx="205">
                  <c:v>75.1583057655871</c:v>
                </c:pt>
                <c:pt idx="206">
                  <c:v>75.1795259672498</c:v>
                </c:pt>
                <c:pt idx="207">
                  <c:v>75.1939002769269</c:v>
                </c:pt>
                <c:pt idx="208">
                  <c:v>75.2013743134598</c:v>
                </c:pt>
                <c:pt idx="209">
                  <c:v>75.2018937755454</c:v>
                </c:pt>
                <c:pt idx="210">
                  <c:v>75.1954042175361</c:v>
                </c:pt>
                <c:pt idx="211">
                  <c:v>75.1818508342629</c:v>
                </c:pt>
                <c:pt idx="212">
                  <c:v>75.1611782546401</c:v>
                </c:pt>
                <c:pt idx="213">
                  <c:v>75.1333303437933</c:v>
                </c:pt>
                <c:pt idx="214">
                  <c:v>75.0982500134407</c:v>
                </c:pt>
                <c:pt idx="215">
                  <c:v>75.055879040252</c:v>
                </c:pt>
                <c:pt idx="216">
                  <c:v>75.0061578919056</c:v>
                </c:pt>
                <c:pt idx="217">
                  <c:v>74.9490255605615</c:v>
                </c:pt>
                <c:pt idx="218">
                  <c:v>74.8844194034784</c:v>
                </c:pt>
                <c:pt idx="219">
                  <c:v>74.812274990497</c:v>
                </c:pt>
                <c:pt idx="220">
                  <c:v>74.7325259581318</c:v>
                </c:pt>
                <c:pt idx="221">
                  <c:v>74.6451038700176</c:v>
                </c:pt>
                <c:pt idx="222">
                  <c:v>74.5499380834681</c:v>
                </c:pt>
                <c:pt idx="223">
                  <c:v>74.4469556219296</c:v>
                </c:pt>
                <c:pt idx="224">
                  <c:v>74.3360810531143</c:v>
                </c:pt>
                <c:pt idx="225">
                  <c:v>74.21723637263</c:v>
                </c:pt>
                <c:pt idx="226">
                  <c:v>74.0903408929392</c:v>
                </c:pt>
                <c:pt idx="227">
                  <c:v>73.9553111374977</c:v>
                </c:pt>
                <c:pt idx="228">
                  <c:v>73.8120607399571</c:v>
                </c:pt>
                <c:pt idx="229">
                  <c:v>73.6605003483332</c:v>
                </c:pt>
                <c:pt idx="230">
                  <c:v>73.5005375340749</c:v>
                </c:pt>
                <c:pt idx="231">
                  <c:v>73.3320767059948</c:v>
                </c:pt>
                <c:pt idx="232">
                  <c:v>73.155019029058</c:v>
                </c:pt>
                <c:pt idx="233">
                  <c:v>72.9692623480504</c:v>
                </c:pt>
                <c:pt idx="234">
                  <c:v>72.774701116196</c:v>
                </c:pt>
                <c:pt idx="235">
                  <c:v>72.5712263288157</c:v>
                </c:pt>
                <c:pt idx="236">
                  <c:v>72.3587254621712</c:v>
                </c:pt>
                <c:pt idx="237">
                  <c:v>72.1370824176679</c:v>
                </c:pt>
                <c:pt idx="238">
                  <c:v>71.9061774716445</c:v>
                </c:pt>
                <c:pt idx="239">
                  <c:v>71.6658872310152</c:v>
                </c:pt>
                <c:pt idx="240">
                  <c:v>71.4160845950813</c:v>
                </c:pt>
                <c:pt idx="241">
                  <c:v>71.1566387238793</c:v>
                </c:pt>
                <c:pt idx="242">
                  <c:v>70.8874150134851</c:v>
                </c:pt>
                <c:pt idx="243">
                  <c:v>70.6082750787488</c:v>
                </c:pt>
                <c:pt idx="244">
                  <c:v>70.3190767439927</c:v>
                </c:pt>
                <c:pt idx="245">
                  <c:v>70.0196740422642</c:v>
                </c:pt>
                <c:pt idx="246">
                  <c:v>69.7099172237978</c:v>
                </c:pt>
                <c:pt idx="247">
                  <c:v>69.3896527744055</c:v>
                </c:pt>
                <c:pt idx="248">
                  <c:v>69.0587234445785</c:v>
                </c:pt>
                <c:pt idx="249">
                  <c:v>68.716968290155</c:v>
                </c:pt>
                <c:pt idx="250">
                  <c:v>68.3642227254692</c:v>
                </c:pt>
                <c:pt idx="251">
                  <c:v>68.0003185899815</c:v>
                </c:pt>
                <c:pt idx="252">
                  <c:v>67.6250842294395</c:v>
                </c:pt>
                <c:pt idx="253">
                  <c:v>67.2383445927097</c:v>
                </c:pt>
                <c:pt idx="254">
                  <c:v>66.8399213454688</c:v>
                </c:pt>
                <c:pt idx="255">
                  <c:v>66.429633002029</c:v>
                </c:pt>
                <c:pt idx="256">
                  <c:v>66.0072950766163</c:v>
                </c:pt>
                <c:pt idx="257">
                  <c:v>65.5727202554938</c:v>
                </c:pt>
                <c:pt idx="258">
                  <c:v>65.1257185913699</c:v>
                </c:pt>
                <c:pt idx="259">
                  <c:v>64.6660977215749</c:v>
                </c:pt>
                <c:pt idx="260">
                  <c:v>64.1936631115346</c:v>
                </c:pt>
                <c:pt idx="261">
                  <c:v>63.7082183250893</c:v>
                </c:pt>
                <c:pt idx="262">
                  <c:v>63.2095653232256</c:v>
                </c:pt>
                <c:pt idx="263">
                  <c:v>62.697504792792</c:v>
                </c:pt>
                <c:pt idx="264">
                  <c:v>62.1718365067427</c:v>
                </c:pt>
                <c:pt idx="265">
                  <c:v>61.6323597174327</c:v>
                </c:pt>
                <c:pt idx="266">
                  <c:v>61.0788735844198</c:v>
                </c:pt>
                <c:pt idx="267">
                  <c:v>60.511177638159</c:v>
                </c:pt>
                <c:pt idx="268">
                  <c:v>59.9290722808585</c:v>
                </c:pt>
                <c:pt idx="269">
                  <c:v>59.3323593256462</c:v>
                </c:pt>
                <c:pt idx="270">
                  <c:v>58.7208425750183</c:v>
                </c:pt>
                <c:pt idx="271">
                  <c:v>58.0943284393528</c:v>
                </c:pt>
                <c:pt idx="272">
                  <c:v>57.4526265960399</c:v>
                </c:pt>
                <c:pt idx="273">
                  <c:v>56.7955506895107</c:v>
                </c:pt>
                <c:pt idx="274">
                  <c:v>56.1229190721478</c:v>
                </c:pt>
                <c:pt idx="275">
                  <c:v>55.4345555857172</c:v>
                </c:pt>
                <c:pt idx="276">
                  <c:v>54.7302903825924</c:v>
                </c:pt>
                <c:pt idx="277">
                  <c:v>54.0099607856159</c:v>
                </c:pt>
                <c:pt idx="278">
                  <c:v>53.2734121850151</c:v>
                </c:pt>
                <c:pt idx="279">
                  <c:v>52.520498970293</c:v>
                </c:pt>
                <c:pt idx="280">
                  <c:v>51.7510854945225</c:v>
                </c:pt>
                <c:pt idx="281">
                  <c:v>50.9650470679321</c:v>
                </c:pt>
                <c:pt idx="282">
                  <c:v>50.1622709771304</c:v>
                </c:pt>
                <c:pt idx="283">
                  <c:v>49.3426575257474</c:v>
                </c:pt>
                <c:pt idx="284">
                  <c:v>48.5061210917104</c:v>
                </c:pt>
                <c:pt idx="285">
                  <c:v>47.6525911958067</c:v>
                </c:pt>
                <c:pt idx="286">
                  <c:v>46.7820135756369</c:v>
                </c:pt>
                <c:pt idx="287">
                  <c:v>45.8943512585297</c:v>
                </c:pt>
                <c:pt idx="288">
                  <c:v>44.9895856265012</c:v>
                </c:pt>
                <c:pt idx="289">
                  <c:v>44.0677174658773</c:v>
                </c:pt>
                <c:pt idx="290">
                  <c:v>43.1287679938165</c:v>
                </c:pt>
                <c:pt idx="291">
                  <c:v>42.1727798536144</c:v>
                </c:pt>
                <c:pt idx="292">
                  <c:v>41.1998180704318</c:v>
                </c:pt>
                <c:pt idx="293">
                  <c:v>40.2099709589043</c:v>
                </c:pt>
                <c:pt idx="294">
                  <c:v>39.2033509740074</c:v>
                </c:pt>
                <c:pt idx="295">
                  <c:v>38.1800954965801</c:v>
                </c:pt>
                <c:pt idx="296">
                  <c:v>37.1403675450231</c:v>
                </c:pt>
                <c:pt idx="297">
                  <c:v>36.0843564049359</c:v>
                </c:pt>
                <c:pt idx="298">
                  <c:v>35.0122781687959</c:v>
                </c:pt>
                <c:pt idx="299">
                  <c:v>33.9243761782491</c:v>
                </c:pt>
                <c:pt idx="300">
                  <c:v>32.820921362149</c:v>
                </c:pt>
                <c:pt idx="301">
                  <c:v>31.7022124641598</c:v>
                </c:pt>
                <c:pt idx="302">
                  <c:v>30.5685761545164</c:v>
                </c:pt>
                <c:pt idx="303">
                  <c:v>29.4203670213839</c:v>
                </c:pt>
                <c:pt idx="304">
                  <c:v>28.2579674382254</c:v>
                </c:pt>
                <c:pt idx="305">
                  <c:v>27.0817873045672</c:v>
                </c:pt>
                <c:pt idx="306">
                  <c:v>25.8922636586342</c:v>
                </c:pt>
                <c:pt idx="307">
                  <c:v>24.6898601613985</c:v>
                </c:pt>
                <c:pt idx="308">
                  <c:v>23.47506645271</c:v>
                </c:pt>
                <c:pt idx="309">
                  <c:v>22.2483973812912</c:v>
                </c:pt>
                <c:pt idx="310">
                  <c:v>21.0103921114702</c:v>
                </c:pt>
                <c:pt idx="311">
                  <c:v>19.7616131106067</c:v>
                </c:pt>
                <c:pt idx="312">
                  <c:v>18.5026450221696</c:v>
                </c:pt>
                <c:pt idx="313">
                  <c:v>17.2340934304203</c:v>
                </c:pt>
                <c:pt idx="314">
                  <c:v>15.9565835234996</c:v>
                </c:pt>
                <c:pt idx="315">
                  <c:v>14.6707586625784</c:v>
                </c:pt>
                <c:pt idx="316">
                  <c:v>13.377278865391</c:v>
                </c:pt>
                <c:pt idx="317">
                  <c:v>12.0768192131297</c:v>
                </c:pt>
                <c:pt idx="318">
                  <c:v>10.7700681901726</c:v>
                </c:pt>
                <c:pt idx="319">
                  <c:v>9.45772596651603</c:v>
                </c:pt>
                <c:pt idx="320">
                  <c:v>8.14050263309117</c:v>
                </c:pt>
                <c:pt idx="321">
                  <c:v>6.81911640034401</c:v>
                </c:pt>
                <c:pt idx="322">
                  <c:v>5.49429177053035</c:v>
                </c:pt>
                <c:pt idx="323">
                  <c:v>4.16675769417779</c:v>
                </c:pt>
                <c:pt idx="324">
                  <c:v>2.83724572106715</c:v>
                </c:pt>
                <c:pt idx="325">
                  <c:v>1.50648815589217</c:v>
                </c:pt>
                <c:pt idx="326">
                  <c:v>0.175216228491514</c:v>
                </c:pt>
                <c:pt idx="327">
                  <c:v>-1.15584171180485</c:v>
                </c:pt>
                <c:pt idx="328">
                  <c:v>-2.48596196857327</c:v>
                </c:pt>
                <c:pt idx="329">
                  <c:v>-3.8144272287533</c:v>
                </c:pt>
                <c:pt idx="330">
                  <c:v>-5.14052824301034</c:v>
                </c:pt>
                <c:pt idx="331">
                  <c:v>-6.46356544840544</c:v>
                </c:pt>
                <c:pt idx="332">
                  <c:v>-7.78285052635009</c:v>
                </c:pt>
                <c:pt idx="333">
                  <c:v>-9.09770788947726</c:v>
                </c:pt>
                <c:pt idx="334">
                  <c:v>-10.4074760916747</c:v>
                </c:pt>
                <c:pt idx="335">
                  <c:v>-11.7115091562194</c:v>
                </c:pt>
                <c:pt idx="336">
                  <c:v>-13.0091778176031</c:v>
                </c:pt>
                <c:pt idx="337">
                  <c:v>-14.2998706733438</c:v>
                </c:pt>
                <c:pt idx="338">
                  <c:v>-15.5829952427383</c:v>
                </c:pt>
                <c:pt idx="339">
                  <c:v>-16.8579789302117</c:v>
                </c:pt>
                <c:pt idx="340">
                  <c:v>-18.1242698915789</c:v>
                </c:pt>
                <c:pt idx="341">
                  <c:v>-19.3813378022006</c:v>
                </c:pt>
                <c:pt idx="342">
                  <c:v>-20.628674526649</c:v>
                </c:pt>
                <c:pt idx="343">
                  <c:v>-21.8657946901316</c:v>
                </c:pt>
                <c:pt idx="344">
                  <c:v>-23.0922361525118</c:v>
                </c:pt>
                <c:pt idx="345">
                  <c:v>-24.3075603863284</c:v>
                </c:pt>
                <c:pt idx="346">
                  <c:v>-25.5113527607584</c:v>
                </c:pt>
                <c:pt idx="347">
                  <c:v>-26.7032227339641</c:v>
                </c:pt>
                <c:pt idx="348">
                  <c:v>-27.882803956716</c:v>
                </c:pt>
                <c:pt idx="349">
                  <c:v>-29.0497542906162</c:v>
                </c:pt>
                <c:pt idx="350">
                  <c:v>-30.2037557446082</c:v>
                </c:pt>
                <c:pt idx="351">
                  <c:v>-31.344514333793</c:v>
                </c:pt>
                <c:pt idx="352">
                  <c:v>-32.4717598648582</c:v>
                </c:pt>
                <c:pt idx="353">
                  <c:v>-33.585245652644</c:v>
                </c:pt>
                <c:pt idx="354">
                  <c:v>-34.6847481725887</c:v>
                </c:pt>
                <c:pt idx="355">
                  <c:v>-35.7700666538993</c:v>
                </c:pt>
                <c:pt idx="356">
                  <c:v>-36.8410226184247</c:v>
                </c:pt>
                <c:pt idx="357">
                  <c:v>-37.8974593702264</c:v>
                </c:pt>
                <c:pt idx="358">
                  <c:v>-38.9392414408849</c:v>
                </c:pt>
                <c:pt idx="359">
                  <c:v>-39.9662539955106</c:v>
                </c:pt>
                <c:pt idx="360">
                  <c:v>-40.9784022043965</c:v>
                </c:pt>
                <c:pt idx="361">
                  <c:v>-41.9756105851188</c:v>
                </c:pt>
                <c:pt idx="362">
                  <c:v>-42.9578223197825</c:v>
                </c:pt>
                <c:pt idx="363">
                  <c:v>-43.9249985519224</c:v>
                </c:pt>
                <c:pt idx="364">
                  <c:v>-44.8771176674161</c:v>
                </c:pt>
                <c:pt idx="365">
                  <c:v>-45.8141745635308</c:v>
                </c:pt>
                <c:pt idx="366">
                  <c:v>-46.736179910034</c:v>
                </c:pt>
                <c:pt idx="367">
                  <c:v>-47.6431594060404</c:v>
                </c:pt>
                <c:pt idx="368">
                  <c:v>-48.5351530360362</c:v>
                </c:pt>
                <c:pt idx="369">
                  <c:v>-49.4122143282711</c:v>
                </c:pt>
                <c:pt idx="370">
                  <c:v>-50.274409618451</c:v>
                </c:pt>
                <c:pt idx="371">
                  <c:v>-51.1218173214108</c:v>
                </c:pt>
                <c:pt idx="372">
                  <c:v>-51.954527213194</c:v>
                </c:pt>
                <c:pt idx="373">
                  <c:v>-52.7726397257204</c:v>
                </c:pt>
                <c:pt idx="374">
                  <c:v>-53.57626525597</c:v>
                </c:pt>
                <c:pt idx="375">
                  <c:v>-54.3655234913864</c:v>
                </c:pt>
                <c:pt idx="376">
                  <c:v>-55.1405427529721</c:v>
                </c:pt>
                <c:pt idx="377">
                  <c:v>-55.9014593573285</c:v>
                </c:pt>
                <c:pt idx="378">
                  <c:v>-56.6484169986931</c:v>
                </c:pt>
                <c:pt idx="379">
                  <c:v>-57.3815661518316</c:v>
                </c:pt>
                <c:pt idx="380">
                  <c:v>-58.1010634964587</c:v>
                </c:pt>
                <c:pt idx="381">
                  <c:v>-58.8070713636971</c:v>
                </c:pt>
                <c:pt idx="382">
                  <c:v>-59.4997572049262</c:v>
                </c:pt>
                <c:pt idx="383">
                  <c:v>-60.1792930832304</c:v>
                </c:pt>
                <c:pt idx="384">
                  <c:v>-60.8458551875257</c:v>
                </c:pt>
                <c:pt idx="385">
                  <c:v>-61.499623369326</c:v>
                </c:pt>
                <c:pt idx="386">
                  <c:v>-62.1407807020066</c:v>
                </c:pt>
                <c:pt idx="387">
                  <c:v>-62.7695130623233</c:v>
                </c:pt>
                <c:pt idx="388">
                  <c:v>-63.3860087338697</c:v>
                </c:pt>
                <c:pt idx="389">
                  <c:v>-63.9904580320737</c:v>
                </c:pt>
                <c:pt idx="390">
                  <c:v>-64.5830529502806</c:v>
                </c:pt>
                <c:pt idx="391">
                  <c:v>-65.1639868264083</c:v>
                </c:pt>
                <c:pt idx="392">
                  <c:v>-65.7334540296203</c:v>
                </c:pt>
                <c:pt idx="393">
                  <c:v>-66.2916496664252</c:v>
                </c:pt>
                <c:pt idx="394">
                  <c:v>-66.8387693055764</c:v>
                </c:pt>
                <c:pt idx="395">
                  <c:v>-67.37500872113</c:v>
                </c:pt>
                <c:pt idx="396">
                  <c:v>-67.9005636529959</c:v>
                </c:pt>
                <c:pt idx="397">
                  <c:v>-68.4156295843109</c:v>
                </c:pt>
                <c:pt idx="398">
                  <c:v>-68.9204015349491</c:v>
                </c:pt>
                <c:pt idx="399">
                  <c:v>-69.4150738704923</c:v>
                </c:pt>
                <c:pt idx="400">
                  <c:v>-69.8998401259767</c:v>
                </c:pt>
                <c:pt idx="401">
                  <c:v>-70.3748928437419</c:v>
                </c:pt>
                <c:pt idx="402">
                  <c:v>-70.8404234247133</c:v>
                </c:pt>
                <c:pt idx="403">
                  <c:v>-71.2966219924673</c:v>
                </c:pt>
                <c:pt idx="404">
                  <c:v>-71.7436772694298</c:v>
                </c:pt>
                <c:pt idx="405">
                  <c:v>-72.1817764645852</c:v>
                </c:pt>
                <c:pt idx="406">
                  <c:v>-72.6111051720843</c:v>
                </c:pt>
                <c:pt idx="407">
                  <c:v>-73.0318472801539</c:v>
                </c:pt>
                <c:pt idx="408">
                  <c:v>-73.444184889739</c:v>
                </c:pt>
                <c:pt idx="409">
                  <c:v>-73.8482982423195</c:v>
                </c:pt>
                <c:pt idx="410">
                  <c:v>-74.2443656563669</c:v>
                </c:pt>
                <c:pt idx="411">
                  <c:v>-74.6325634719275</c:v>
                </c:pt>
                <c:pt idx="412">
                  <c:v>-75.0130660028397</c:v>
                </c:pt>
                <c:pt idx="413">
                  <c:v>-75.3860454961098</c:v>
                </c:pt>
                <c:pt idx="414">
                  <c:v>-75.7516720979965</c:v>
                </c:pt>
                <c:pt idx="415">
                  <c:v>-76.1101138263733</c:v>
                </c:pt>
                <c:pt idx="416">
                  <c:v>-76.4615365489548</c:v>
                </c:pt>
                <c:pt idx="417">
                  <c:v>-76.8061039669996</c:v>
                </c:pt>
                <c:pt idx="418">
                  <c:v>-77.1439776041133</c:v>
                </c:pt>
                <c:pt idx="419">
                  <c:v>-77.4753167998037</c:v>
                </c:pt>
                <c:pt idx="420">
                  <c:v>-77.8002787074494</c:v>
                </c:pt>
                <c:pt idx="421">
                  <c:v>-78.1190182963698</c:v>
                </c:pt>
                <c:pt idx="422">
                  <c:v>-78.4316883576936</c:v>
                </c:pt>
                <c:pt idx="423">
                  <c:v>-78.7384395137459</c:v>
                </c:pt>
                <c:pt idx="424">
                  <c:v>-79.0394202306874</c:v>
                </c:pt>
                <c:pt idx="425">
                  <c:v>-79.3347768341537</c:v>
                </c:pt>
                <c:pt idx="426">
                  <c:v>-79.6246535276605</c:v>
                </c:pt>
                <c:pt idx="427">
                  <c:v>-79.9091924135521</c:v>
                </c:pt>
                <c:pt idx="428">
                  <c:v>-80.1885335162851</c:v>
                </c:pt>
                <c:pt idx="429">
                  <c:v>-80.4628148078534</c:v>
                </c:pt>
                <c:pt idx="430">
                  <c:v>-80.7321722351685</c:v>
                </c:pt>
                <c:pt idx="431">
                  <c:v>-80.9967397492293</c:v>
                </c:pt>
                <c:pt idx="432">
                  <c:v>-81.2566493359159</c:v>
                </c:pt>
                <c:pt idx="433">
                  <c:v>-81.5120310482632</c:v>
                </c:pt>
                <c:pt idx="434">
                  <c:v>-81.7630130400702</c:v>
                </c:pt>
                <c:pt idx="435">
                  <c:v>-82.00972160072</c:v>
                </c:pt>
                <c:pt idx="436">
                  <c:v>-82.2522811910863</c:v>
                </c:pt>
                <c:pt idx="437">
                  <c:v>-82.4908144804157</c:v>
                </c:pt>
                <c:pt idx="438">
                  <c:v>-82.7254423840817</c:v>
                </c:pt>
                <c:pt idx="439">
                  <c:v>-82.9562841021131</c:v>
                </c:pt>
                <c:pt idx="440">
                  <c:v>-83.183457158407</c:v>
                </c:pt>
                <c:pt idx="441">
                  <c:v>-83.4070774405459</c:v>
                </c:pt>
                <c:pt idx="442">
                  <c:v>-83.6272592401378</c:v>
                </c:pt>
                <c:pt idx="443">
                  <c:v>-83.8441152936148</c:v>
                </c:pt>
                <c:pt idx="444">
                  <c:v>-84.0577568234181</c:v>
                </c:pt>
                <c:pt idx="445">
                  <c:v>-84.268293579516</c:v>
                </c:pt>
                <c:pt idx="446">
                  <c:v>-84.4758338811951</c:v>
                </c:pt>
                <c:pt idx="447">
                  <c:v>-84.6804846590772</c:v>
                </c:pt>
                <c:pt idx="448">
                  <c:v>-84.8823514973129</c:v>
                </c:pt>
                <c:pt idx="449">
                  <c:v>-85.0815386759121</c:v>
                </c:pt>
                <c:pt idx="450">
                  <c:v>-85.2781492131706</c:v>
                </c:pt>
                <c:pt idx="451">
                  <c:v>-85.4722849081595</c:v>
                </c:pt>
                <c:pt idx="452">
                  <c:v>-85.6640463832423</c:v>
                </c:pt>
                <c:pt idx="453">
                  <c:v>-85.8535331265937</c:v>
                </c:pt>
                <c:pt idx="454">
                  <c:v>-86.0408435346919</c:v>
                </c:pt>
                <c:pt idx="455">
                  <c:v>-86.2260749547589</c:v>
                </c:pt>
                <c:pt idx="456">
                  <c:v>-86.4093237271305</c:v>
                </c:pt>
                <c:pt idx="457">
                  <c:v>-86.5906852275328</c:v>
                </c:pt>
                <c:pt idx="458">
                  <c:v>-86.7702539092488</c:v>
                </c:pt>
                <c:pt idx="459">
                  <c:v>-86.9481233451596</c:v>
                </c:pt>
                <c:pt idx="460">
                  <c:v>-87.1243862696437</c:v>
                </c:pt>
                <c:pt idx="461">
                  <c:v>-87.2991346203226</c:v>
                </c:pt>
                <c:pt idx="462">
                  <c:v>-87.4724595796404</c:v>
                </c:pt>
                <c:pt idx="463">
                  <c:v>-87.6444516162653</c:v>
                </c:pt>
                <c:pt idx="464">
                  <c:v>-87.8152005263044</c:v>
                </c:pt>
                <c:pt idx="465">
                  <c:v>-87.9847954743209</c:v>
                </c:pt>
                <c:pt idx="466">
                  <c:v>-88.1533250341467</c:v>
                </c:pt>
                <c:pt idx="467">
                  <c:v>-88.3208772294793</c:v>
                </c:pt>
                <c:pt idx="468">
                  <c:v>-88.4875395742589</c:v>
                </c:pt>
                <c:pt idx="469">
                  <c:v>-88.6533991128142</c:v>
                </c:pt>
                <c:pt idx="470">
                  <c:v>-88.8185424597713</c:v>
                </c:pt>
                <c:pt idx="471">
                  <c:v>-88.9830558397181</c:v>
                </c:pt>
                <c:pt idx="472">
                  <c:v>-89.1470251266145</c:v>
                </c:pt>
                <c:pt idx="473">
                  <c:v>-89.3105358829423</c:v>
                </c:pt>
                <c:pt idx="474">
                  <c:v>-89.4736733985852</c:v>
                </c:pt>
                <c:pt idx="475">
                  <c:v>-89.6365227294285</c:v>
                </c:pt>
                <c:pt idx="476">
                  <c:v>-89.799168735671</c:v>
                </c:pt>
                <c:pt idx="477">
                  <c:v>-89.9616961198355</c:v>
                </c:pt>
                <c:pt idx="478">
                  <c:v>-90.124189464469</c:v>
                </c:pt>
                <c:pt idx="479">
                  <c:v>-90.2867332695164</c:v>
                </c:pt>
                <c:pt idx="480">
                  <c:v>-90.4494119893568</c:v>
                </c:pt>
                <c:pt idx="481">
                  <c:v>-90.612310069484</c:v>
                </c:pt>
                <c:pt idx="482">
                  <c:v>-90.7755119828156</c:v>
                </c:pt>
                <c:pt idx="483">
                  <c:v>-90.9391022656118</c:v>
                </c:pt>
                <c:pt idx="484">
                  <c:v>-91.1031655529812</c:v>
                </c:pt>
                <c:pt idx="485">
                  <c:v>-91.267786613954</c:v>
                </c:pt>
                <c:pt idx="486">
                  <c:v>-91.4330503860933</c:v>
                </c:pt>
                <c:pt idx="487">
                  <c:v>-91.5990420096214</c:v>
                </c:pt>
                <c:pt idx="488">
                  <c:v>-91.7658468610264</c:v>
                </c:pt>
                <c:pt idx="489">
                  <c:v>-91.93355058612</c:v>
                </c:pt>
                <c:pt idx="490">
                  <c:v>-92.1022391325081</c:v>
                </c:pt>
                <c:pt idx="491">
                  <c:v>-92.271998781435</c:v>
                </c:pt>
                <c:pt idx="492">
                  <c:v>-92.4429161789602</c:v>
                </c:pt>
                <c:pt idx="493">
                  <c:v>-92.6150783664191</c:v>
                </c:pt>
                <c:pt idx="494">
                  <c:v>-92.7885728101186</c:v>
                </c:pt>
                <c:pt idx="495">
                  <c:v>-92.963487430213</c:v>
                </c:pt>
                <c:pt idx="496">
                  <c:v>-93.1399106287001</c:v>
                </c:pt>
                <c:pt idx="497">
                  <c:v>-93.3179313164751</c:v>
                </c:pt>
                <c:pt idx="498">
                  <c:v>-93.4976389393721</c:v>
                </c:pt>
                <c:pt idx="499">
                  <c:v>-93.6791235031208</c:v>
                </c:pt>
                <c:pt idx="500">
                  <c:v>-93.8624755971365</c:v>
                </c:pt>
                <c:pt idx="501">
                  <c:v>-94.0477864170593</c:v>
                </c:pt>
                <c:pt idx="502">
                  <c:v>-94.2351477859514</c:v>
                </c:pt>
                <c:pt idx="503">
                  <c:v>-94.4246521740507</c:v>
                </c:pt>
                <c:pt idx="504">
                  <c:v>-94.6163927169787</c:v>
                </c:pt>
                <c:pt idx="505">
                  <c:v>-94.8104632322897</c:v>
                </c:pt>
                <c:pt idx="506">
                  <c:v>-95.0069582342374</c:v>
                </c:pt>
                <c:pt idx="507">
                  <c:v>-95.2059729466365</c:v>
                </c:pt>
                <c:pt idx="508">
                  <c:v>-95.4076033136774</c:v>
                </c:pt>
                <c:pt idx="509">
                  <c:v>-95.6119460085524</c:v>
                </c:pt>
                <c:pt idx="510">
                  <c:v>-95.8190984397369</c:v>
                </c:pt>
                <c:pt idx="511">
                  <c:v>-96.0291587547637</c:v>
                </c:pt>
                <c:pt idx="512">
                  <c:v>-96.2422258413153</c:v>
                </c:pt>
                <c:pt idx="513">
                  <c:v>-96.4583993254525</c:v>
                </c:pt>
                <c:pt idx="514">
                  <c:v>-96.6777795667852</c:v>
                </c:pt>
                <c:pt idx="515">
                  <c:v>-96.9004676503792</c:v>
                </c:pt>
                <c:pt idx="516">
                  <c:v>-97.1265653751862</c:v>
                </c:pt>
                <c:pt idx="517">
                  <c:v>-97.3561752387697</c:v>
                </c:pt>
                <c:pt idx="518">
                  <c:v>-97.5894004180886</c:v>
                </c:pt>
                <c:pt idx="519">
                  <c:v>-97.8263447460888</c:v>
                </c:pt>
                <c:pt idx="520">
                  <c:v>-98.0671126838442</c:v>
                </c:pt>
                <c:pt idx="521">
                  <c:v>-98.3118092879725</c:v>
                </c:pt>
                <c:pt idx="522">
                  <c:v>-98.5605401730423</c:v>
                </c:pt>
                <c:pt idx="523">
                  <c:v>-98.8134114686779</c:v>
                </c:pt>
                <c:pt idx="524">
                  <c:v>-99.0705297710536</c:v>
                </c:pt>
                <c:pt idx="525">
                  <c:v>-99.3320020884607</c:v>
                </c:pt>
                <c:pt idx="526">
                  <c:v>-99.5979357806203</c:v>
                </c:pt>
                <c:pt idx="527">
                  <c:v>-99.8684384914046</c:v>
                </c:pt>
                <c:pt idx="528">
                  <c:v>-100.14361807462</c:v>
                </c:pt>
                <c:pt idx="529">
                  <c:v>-100.423582512498</c:v>
                </c:pt>
                <c:pt idx="530">
                  <c:v>-100.708439826538</c:v>
                </c:pt>
                <c:pt idx="531">
                  <c:v>-100.998297980323</c:v>
                </c:pt>
                <c:pt idx="532">
                  <c:v>-101.293264773953</c:v>
                </c:pt>
                <c:pt idx="533">
                  <c:v>-101.593447729719</c:v>
                </c:pt>
                <c:pt idx="534">
                  <c:v>-101.898953968639</c:v>
                </c:pt>
                <c:pt idx="535">
                  <c:v>-102.209890077497</c:v>
                </c:pt>
                <c:pt idx="536">
                  <c:v>-102.526361966013</c:v>
                </c:pt>
                <c:pt idx="537">
                  <c:v>-102.848474713799</c:v>
                </c:pt>
                <c:pt idx="538">
                  <c:v>-103.176332406744</c:v>
                </c:pt>
                <c:pt idx="539">
                  <c:v>-103.510037962508</c:v>
                </c:pt>
                <c:pt idx="540">
                  <c:v>-103.849692944825</c:v>
                </c:pt>
                <c:pt idx="541">
                  <c:v>-104.195397366313</c:v>
                </c:pt>
              </c:numCache>
            </c:numRef>
          </c:yVal>
          <c:smooth val="1"/>
        </c:ser>
        <c:dLbls>
          <c:showLegendKey val="0"/>
          <c:showVal val="0"/>
          <c:showCatName val="0"/>
          <c:showSerName val="0"/>
          <c:showPercent val="0"/>
          <c:showBubbleSize val="0"/>
        </c:dLbls>
        <c:axId val="178971776"/>
        <c:axId val="178961792"/>
      </c:scatterChart>
      <c:valAx>
        <c:axId val="178953600"/>
        <c:scaling>
          <c:logBase val="10"/>
          <c:orientation val="minMax"/>
          <c:max val="2200000"/>
          <c:min val="10"/>
        </c:scaling>
        <c:delete val="0"/>
        <c:axPos val="b"/>
        <c:minorGridlines/>
        <c:title>
          <c:tx>
            <c:rich>
              <a:bodyPr rot="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Frequency</a:t>
                </a:r>
                <a:r>
                  <a:rPr lang="en-US" baseline="0"/>
                  <a:t> (Hz)</a:t>
                </a:r>
                <a:endParaRPr lang="en-US"/>
              </a:p>
            </c:rich>
          </c:tx>
          <c:layout/>
          <c:overlay val="0"/>
        </c:title>
        <c:numFmt formatCode="0" sourceLinked="0"/>
        <c:majorTickMark val="out"/>
        <c:minorTickMark val="none"/>
        <c:tickLblPos val="low"/>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959872"/>
        <c:crosses val="autoZero"/>
        <c:crossBetween val="midCat"/>
      </c:valAx>
      <c:valAx>
        <c:axId val="178959872"/>
        <c:scaling>
          <c:orientation val="minMax"/>
          <c:max val="40"/>
          <c:min val="-40"/>
        </c:scaling>
        <c:delete val="0"/>
        <c:axPos val="l"/>
        <c:majorGridlines/>
        <c:minorGridlines/>
        <c:title>
          <c:tx>
            <c:rich>
              <a:bodyPr rot="-540000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solidFill>
                      <a:srgbClr val="FF0000"/>
                    </a:solidFill>
                  </a:rPr>
                  <a:t>Gain</a:t>
                </a:r>
                <a:r>
                  <a:rPr lang="en-US" baseline="0">
                    <a:solidFill>
                      <a:srgbClr val="FF0000"/>
                    </a:solidFill>
                  </a:rPr>
                  <a:t> (dB)</a:t>
                </a:r>
                <a:endParaRPr lang="en-US">
                  <a:solidFill>
                    <a:srgbClr val="FF0000"/>
                  </a:solidFill>
                </a:endParaRPr>
              </a:p>
            </c:rich>
          </c:tx>
          <c:layout/>
          <c:overlay val="0"/>
        </c:title>
        <c:numFmt formatCode="General" sourceLinked="0"/>
        <c:majorTickMark val="out"/>
        <c:minorTickMark val="none"/>
        <c:tickLblPos val="nextTo"/>
        <c:txPr>
          <a:bodyPr rot="-60000000" spcFirstLastPara="0" vertOverflow="ellipsis" vert="horz" wrap="square" anchor="ctr" anchorCtr="1"/>
          <a:lstStyle/>
          <a:p>
            <a:pPr>
              <a:defRPr lang="pl-PL" sz="1000" b="0" i="0" u="none" strike="noStrike" kern="1200" baseline="0">
                <a:solidFill>
                  <a:srgbClr val="FF0000"/>
                </a:solidFill>
                <a:latin typeface="+mn-lt"/>
                <a:ea typeface="+mn-ea"/>
                <a:cs typeface="+mn-cs"/>
              </a:defRPr>
            </a:pPr>
          </a:p>
        </c:txPr>
        <c:crossAx val="178953600"/>
        <c:crosses val="autoZero"/>
        <c:crossBetween val="midCat"/>
        <c:majorUnit val="20"/>
        <c:minorUnit val="10"/>
      </c:valAx>
      <c:valAx>
        <c:axId val="178971776"/>
        <c:scaling>
          <c:logBase val="10"/>
          <c:orientation val="minMax"/>
        </c:scaling>
        <c:delete val="1"/>
        <c:axPos val="b"/>
        <c:numFmt formatCode="0.00"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961792"/>
        <c:crosses val="autoZero"/>
        <c:crossBetween val="midCat"/>
      </c:valAx>
      <c:valAx>
        <c:axId val="178961792"/>
        <c:scaling>
          <c:orientation val="minMax"/>
          <c:max val="180"/>
          <c:min val="-180"/>
        </c:scaling>
        <c:delete val="0"/>
        <c:axPos val="r"/>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lumMod val="95000"/>
                    <a:lumOff val="5000"/>
                  </a:schemeClr>
                </a:solidFill>
                <a:latin typeface="+mn-lt"/>
                <a:ea typeface="+mn-ea"/>
                <a:cs typeface="+mn-cs"/>
              </a:defRPr>
            </a:pPr>
          </a:p>
        </c:txPr>
        <c:crossAx val="178971776"/>
        <c:crosses val="max"/>
        <c:crossBetween val="midCat"/>
        <c:majorUnit val="90"/>
        <c:minorUnit val="45"/>
      </c:valAx>
    </c:plotArea>
    <c:plotVisOnly val="1"/>
    <c:dispBlanksAs val="gap"/>
    <c:showDLblsOverMax val="0"/>
    <c:extLst>
      <c:ext uri="{0b15fc19-7d7d-44ad-8c2d-2c3a37ce22c3}">
        <chartProps xmlns="https://web.wps.cn/et/2018/main" chartId="{d8376ad8-9511-453a-95bc-415188ceb85e}"/>
      </c:ext>
    </c:extLst>
  </c:chart>
  <c:txPr>
    <a:bodyPr/>
    <a:lstStyle/>
    <a:p>
      <a:pPr>
        <a:defRPr lang="pl-PL"/>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lgn="l">
              <a:defRPr lang="pl-PL" sz="2400" b="1" i="0" u="none" strike="noStrike" kern="1200" baseline="0">
                <a:solidFill>
                  <a:schemeClr val="tx1"/>
                </a:solidFill>
                <a:latin typeface="+mn-lt"/>
                <a:ea typeface="+mn-ea"/>
                <a:cs typeface="+mn-cs"/>
              </a:defRPr>
            </a:pPr>
            <a:r>
              <a:rPr lang="el-GR" sz="2400"/>
              <a:t>η</a:t>
            </a:r>
            <a:endParaRPr lang="en-US" sz="2400"/>
          </a:p>
        </c:rich>
      </c:tx>
      <c:layout>
        <c:manualLayout>
          <c:xMode val="edge"/>
          <c:yMode val="edge"/>
          <c:x val="0.0923218382951588"/>
          <c:y val="0.00670690811535882"/>
        </c:manualLayout>
      </c:layout>
      <c:overlay val="1"/>
    </c:title>
    <c:autoTitleDeleted val="0"/>
    <c:plotArea>
      <c:layout>
        <c:manualLayout>
          <c:layoutTarget val="inner"/>
          <c:xMode val="edge"/>
          <c:yMode val="edge"/>
          <c:x val="0.0943435758165804"/>
          <c:y val="0.127775049245605"/>
          <c:w val="0.821706919227287"/>
          <c:h val="0.749827708676531"/>
        </c:manualLayout>
      </c:layout>
      <c:scatterChart>
        <c:scatterStyle val="smooth"/>
        <c:varyColors val="0"/>
        <c:ser>
          <c:idx val="0"/>
          <c:order val="0"/>
          <c:tx>
            <c:strRef>
              <c:f>"Eff"</c:f>
              <c:strCache>
                <c:ptCount val="1"/>
                <c:pt idx="0">
                  <c:v>Eff</c:v>
                </c:pt>
              </c:strCache>
            </c:strRef>
          </c:tx>
          <c:spPr>
            <a:ln w="28575" cap="rnd" cmpd="sng" algn="ctr">
              <a:solidFill>
                <a:srgbClr val="FF0000"/>
              </a:solidFill>
              <a:prstDash val="solid"/>
              <a:round/>
            </a:ln>
          </c:spPr>
          <c:marker>
            <c:symbol val="none"/>
          </c:marker>
          <c:dLbls>
            <c:delete val="1"/>
          </c:dLbls>
          <c:xVal>
            <c:numRef>
              <c:f>Eff_vs_IOUT!$S$7:$S$157</c:f>
              <c:numCache>
                <c:formatCode>General</c:formatCode>
                <c:ptCount val="151"/>
                <c:pt idx="0">
                  <c:v>0</c:v>
                </c:pt>
                <c:pt idx="1">
                  <c:v>0.00666666666666667</c:v>
                </c:pt>
                <c:pt idx="2">
                  <c:v>0.0133333333333333</c:v>
                </c:pt>
                <c:pt idx="3">
                  <c:v>0.02</c:v>
                </c:pt>
                <c:pt idx="4">
                  <c:v>0.0266666666666667</c:v>
                </c:pt>
                <c:pt idx="5">
                  <c:v>0.0333333333333333</c:v>
                </c:pt>
                <c:pt idx="6">
                  <c:v>0.04</c:v>
                </c:pt>
                <c:pt idx="7">
                  <c:v>0.0466666666666667</c:v>
                </c:pt>
                <c:pt idx="8">
                  <c:v>0.0533333333333333</c:v>
                </c:pt>
                <c:pt idx="9">
                  <c:v>0.06</c:v>
                </c:pt>
                <c:pt idx="10">
                  <c:v>0.0666666666666667</c:v>
                </c:pt>
                <c:pt idx="11">
                  <c:v>0.0733333333333333</c:v>
                </c:pt>
                <c:pt idx="12">
                  <c:v>0.08</c:v>
                </c:pt>
                <c:pt idx="13">
                  <c:v>0.0866666666666667</c:v>
                </c:pt>
                <c:pt idx="14">
                  <c:v>0.0933333333333333</c:v>
                </c:pt>
                <c:pt idx="15">
                  <c:v>0.1</c:v>
                </c:pt>
                <c:pt idx="16">
                  <c:v>0.106666666666667</c:v>
                </c:pt>
                <c:pt idx="17">
                  <c:v>0.113333333333333</c:v>
                </c:pt>
                <c:pt idx="18">
                  <c:v>0.12</c:v>
                </c:pt>
                <c:pt idx="19">
                  <c:v>0.126666666666667</c:v>
                </c:pt>
                <c:pt idx="20">
                  <c:v>0.133333333333333</c:v>
                </c:pt>
                <c:pt idx="21">
                  <c:v>0.14</c:v>
                </c:pt>
                <c:pt idx="22">
                  <c:v>0.146666666666667</c:v>
                </c:pt>
                <c:pt idx="23">
                  <c:v>0.153333333333333</c:v>
                </c:pt>
                <c:pt idx="24">
                  <c:v>0.16</c:v>
                </c:pt>
                <c:pt idx="25">
                  <c:v>0.166666666666667</c:v>
                </c:pt>
                <c:pt idx="26">
                  <c:v>0.173333333333333</c:v>
                </c:pt>
                <c:pt idx="27">
                  <c:v>0.18</c:v>
                </c:pt>
                <c:pt idx="28">
                  <c:v>0.186666666666667</c:v>
                </c:pt>
                <c:pt idx="29">
                  <c:v>0.193333333333333</c:v>
                </c:pt>
                <c:pt idx="30">
                  <c:v>0.2</c:v>
                </c:pt>
                <c:pt idx="31">
                  <c:v>0.206666666666667</c:v>
                </c:pt>
                <c:pt idx="32">
                  <c:v>0.213333333333333</c:v>
                </c:pt>
                <c:pt idx="33">
                  <c:v>0.22</c:v>
                </c:pt>
                <c:pt idx="34">
                  <c:v>0.226666666666667</c:v>
                </c:pt>
                <c:pt idx="35">
                  <c:v>0.233333333333333</c:v>
                </c:pt>
                <c:pt idx="36">
                  <c:v>0.24</c:v>
                </c:pt>
                <c:pt idx="37">
                  <c:v>0.246666666666667</c:v>
                </c:pt>
                <c:pt idx="38">
                  <c:v>0.253333333333333</c:v>
                </c:pt>
                <c:pt idx="39">
                  <c:v>0.26</c:v>
                </c:pt>
                <c:pt idx="40">
                  <c:v>0.266666666666667</c:v>
                </c:pt>
                <c:pt idx="41">
                  <c:v>0.273333333333333</c:v>
                </c:pt>
                <c:pt idx="42">
                  <c:v>0.28</c:v>
                </c:pt>
                <c:pt idx="43">
                  <c:v>0.286666666666667</c:v>
                </c:pt>
                <c:pt idx="44">
                  <c:v>0.293333333333333</c:v>
                </c:pt>
                <c:pt idx="45">
                  <c:v>0.3</c:v>
                </c:pt>
                <c:pt idx="46">
                  <c:v>0.306666666666667</c:v>
                </c:pt>
                <c:pt idx="47">
                  <c:v>0.313333333333333</c:v>
                </c:pt>
                <c:pt idx="48">
                  <c:v>0.32</c:v>
                </c:pt>
                <c:pt idx="49">
                  <c:v>0.326666666666667</c:v>
                </c:pt>
                <c:pt idx="50">
                  <c:v>0.333333333333333</c:v>
                </c:pt>
                <c:pt idx="51">
                  <c:v>0.34</c:v>
                </c:pt>
                <c:pt idx="52">
                  <c:v>0.346666666666667</c:v>
                </c:pt>
                <c:pt idx="53">
                  <c:v>0.353333333333333</c:v>
                </c:pt>
                <c:pt idx="54">
                  <c:v>0.36</c:v>
                </c:pt>
                <c:pt idx="55">
                  <c:v>0.366666666666667</c:v>
                </c:pt>
                <c:pt idx="56">
                  <c:v>0.373333333333333</c:v>
                </c:pt>
                <c:pt idx="57">
                  <c:v>0.38</c:v>
                </c:pt>
                <c:pt idx="58">
                  <c:v>0.386666666666667</c:v>
                </c:pt>
                <c:pt idx="59">
                  <c:v>0.393333333333333</c:v>
                </c:pt>
                <c:pt idx="60">
                  <c:v>0.4</c:v>
                </c:pt>
                <c:pt idx="61">
                  <c:v>0.406666666666667</c:v>
                </c:pt>
                <c:pt idx="62">
                  <c:v>0.413333333333333</c:v>
                </c:pt>
                <c:pt idx="63">
                  <c:v>0.42</c:v>
                </c:pt>
                <c:pt idx="64">
                  <c:v>0.426666666666667</c:v>
                </c:pt>
                <c:pt idx="65">
                  <c:v>0.433333333333333</c:v>
                </c:pt>
                <c:pt idx="66">
                  <c:v>0.44</c:v>
                </c:pt>
                <c:pt idx="67">
                  <c:v>0.446666666666667</c:v>
                </c:pt>
                <c:pt idx="68">
                  <c:v>0.453333333333333</c:v>
                </c:pt>
                <c:pt idx="69">
                  <c:v>0.46</c:v>
                </c:pt>
                <c:pt idx="70">
                  <c:v>0.466666666666667</c:v>
                </c:pt>
                <c:pt idx="71">
                  <c:v>0.473333333333333</c:v>
                </c:pt>
                <c:pt idx="72">
                  <c:v>0.48</c:v>
                </c:pt>
                <c:pt idx="73">
                  <c:v>0.486666666666667</c:v>
                </c:pt>
                <c:pt idx="74">
                  <c:v>0.493333333333333</c:v>
                </c:pt>
                <c:pt idx="75">
                  <c:v>0.5</c:v>
                </c:pt>
                <c:pt idx="76">
                  <c:v>0.506666666666667</c:v>
                </c:pt>
                <c:pt idx="77">
                  <c:v>0.513333333333333</c:v>
                </c:pt>
                <c:pt idx="78">
                  <c:v>0.52</c:v>
                </c:pt>
                <c:pt idx="79">
                  <c:v>0.526666666666667</c:v>
                </c:pt>
                <c:pt idx="80">
                  <c:v>0.533333333333333</c:v>
                </c:pt>
                <c:pt idx="81">
                  <c:v>0.54</c:v>
                </c:pt>
                <c:pt idx="82">
                  <c:v>0.546666666666667</c:v>
                </c:pt>
                <c:pt idx="83">
                  <c:v>0.553333333333333</c:v>
                </c:pt>
                <c:pt idx="84">
                  <c:v>0.56</c:v>
                </c:pt>
                <c:pt idx="85">
                  <c:v>0.566666666666667</c:v>
                </c:pt>
                <c:pt idx="86">
                  <c:v>0.573333333333333</c:v>
                </c:pt>
                <c:pt idx="87">
                  <c:v>0.58</c:v>
                </c:pt>
                <c:pt idx="88">
                  <c:v>0.586666666666667</c:v>
                </c:pt>
                <c:pt idx="89">
                  <c:v>0.593333333333333</c:v>
                </c:pt>
                <c:pt idx="90">
                  <c:v>0.6</c:v>
                </c:pt>
                <c:pt idx="91">
                  <c:v>0.606666666666667</c:v>
                </c:pt>
                <c:pt idx="92">
                  <c:v>0.613333333333333</c:v>
                </c:pt>
                <c:pt idx="93">
                  <c:v>0.62</c:v>
                </c:pt>
                <c:pt idx="94">
                  <c:v>0.626666666666667</c:v>
                </c:pt>
                <c:pt idx="95">
                  <c:v>0.633333333333333</c:v>
                </c:pt>
                <c:pt idx="96">
                  <c:v>0.64</c:v>
                </c:pt>
                <c:pt idx="97">
                  <c:v>0.646666666666667</c:v>
                </c:pt>
                <c:pt idx="98">
                  <c:v>0.653333333333333</c:v>
                </c:pt>
                <c:pt idx="99">
                  <c:v>0.66</c:v>
                </c:pt>
                <c:pt idx="100">
                  <c:v>0.666666666666667</c:v>
                </c:pt>
                <c:pt idx="101">
                  <c:v>0.673333333333333</c:v>
                </c:pt>
                <c:pt idx="102">
                  <c:v>0.68</c:v>
                </c:pt>
                <c:pt idx="103">
                  <c:v>0.686666666666667</c:v>
                </c:pt>
                <c:pt idx="104">
                  <c:v>0.693333333333333</c:v>
                </c:pt>
                <c:pt idx="105">
                  <c:v>0.7</c:v>
                </c:pt>
                <c:pt idx="106">
                  <c:v>0.706666666666667</c:v>
                </c:pt>
                <c:pt idx="107">
                  <c:v>0.713333333333333</c:v>
                </c:pt>
                <c:pt idx="108">
                  <c:v>0.72</c:v>
                </c:pt>
                <c:pt idx="109">
                  <c:v>0.726666666666667</c:v>
                </c:pt>
                <c:pt idx="110">
                  <c:v>0.733333333333333</c:v>
                </c:pt>
                <c:pt idx="111">
                  <c:v>0.74</c:v>
                </c:pt>
                <c:pt idx="112">
                  <c:v>0.746666666666667</c:v>
                </c:pt>
                <c:pt idx="113">
                  <c:v>0.753333333333333</c:v>
                </c:pt>
                <c:pt idx="114">
                  <c:v>0.76</c:v>
                </c:pt>
                <c:pt idx="115">
                  <c:v>0.766666666666667</c:v>
                </c:pt>
                <c:pt idx="116">
                  <c:v>0.773333333333333</c:v>
                </c:pt>
                <c:pt idx="117">
                  <c:v>0.78</c:v>
                </c:pt>
                <c:pt idx="118">
                  <c:v>0.786666666666667</c:v>
                </c:pt>
                <c:pt idx="119">
                  <c:v>0.793333333333333</c:v>
                </c:pt>
                <c:pt idx="120">
                  <c:v>0.8</c:v>
                </c:pt>
                <c:pt idx="121">
                  <c:v>0.806666666666667</c:v>
                </c:pt>
                <c:pt idx="122">
                  <c:v>0.813333333333333</c:v>
                </c:pt>
                <c:pt idx="123">
                  <c:v>0.82</c:v>
                </c:pt>
                <c:pt idx="124">
                  <c:v>0.826666666666667</c:v>
                </c:pt>
                <c:pt idx="125">
                  <c:v>0.833333333333333</c:v>
                </c:pt>
                <c:pt idx="126">
                  <c:v>0.84</c:v>
                </c:pt>
                <c:pt idx="127">
                  <c:v>0.846666666666667</c:v>
                </c:pt>
                <c:pt idx="128">
                  <c:v>0.853333333333333</c:v>
                </c:pt>
                <c:pt idx="129">
                  <c:v>0.86</c:v>
                </c:pt>
                <c:pt idx="130">
                  <c:v>0.866666666666667</c:v>
                </c:pt>
                <c:pt idx="131">
                  <c:v>0.873333333333333</c:v>
                </c:pt>
                <c:pt idx="132">
                  <c:v>0.88</c:v>
                </c:pt>
                <c:pt idx="133">
                  <c:v>0.886666666666667</c:v>
                </c:pt>
                <c:pt idx="134">
                  <c:v>0.893333333333333</c:v>
                </c:pt>
                <c:pt idx="135">
                  <c:v>0.9</c:v>
                </c:pt>
                <c:pt idx="136">
                  <c:v>0.906666666666667</c:v>
                </c:pt>
                <c:pt idx="137">
                  <c:v>0.913333333333333</c:v>
                </c:pt>
                <c:pt idx="138">
                  <c:v>0.92</c:v>
                </c:pt>
                <c:pt idx="139">
                  <c:v>0.926666666666667</c:v>
                </c:pt>
                <c:pt idx="140">
                  <c:v>0.933333333333333</c:v>
                </c:pt>
                <c:pt idx="141">
                  <c:v>0.94</c:v>
                </c:pt>
                <c:pt idx="142">
                  <c:v>0.946666666666667</c:v>
                </c:pt>
                <c:pt idx="143">
                  <c:v>0.953333333333333</c:v>
                </c:pt>
                <c:pt idx="144">
                  <c:v>0.96</c:v>
                </c:pt>
                <c:pt idx="145">
                  <c:v>0.966666666666667</c:v>
                </c:pt>
                <c:pt idx="146">
                  <c:v>0.973333333333333</c:v>
                </c:pt>
                <c:pt idx="147">
                  <c:v>0.98</c:v>
                </c:pt>
                <c:pt idx="148">
                  <c:v>0.986666666666667</c:v>
                </c:pt>
                <c:pt idx="149">
                  <c:v>0.993333333333333</c:v>
                </c:pt>
                <c:pt idx="150">
                  <c:v>1</c:v>
                </c:pt>
              </c:numCache>
            </c:numRef>
          </c:xVal>
          <c:yVal>
            <c:numRef>
              <c:f>Eff_vs_IOUT!$AT$7:$AT$157</c:f>
              <c:numCache>
                <c:formatCode>General</c:formatCode>
                <c:ptCount val="151"/>
                <c:pt idx="0">
                  <c:v>0</c:v>
                </c:pt>
                <c:pt idx="1">
                  <c:v>26.6295933058595</c:v>
                </c:pt>
                <c:pt idx="2">
                  <c:v>41.3029430327581</c:v>
                </c:pt>
                <c:pt idx="3">
                  <c:v>50.5868882588673</c:v>
                </c:pt>
                <c:pt idx="4">
                  <c:v>56.9835290519853</c:v>
                </c:pt>
                <c:pt idx="5">
                  <c:v>61.6536125280416</c:v>
                </c:pt>
                <c:pt idx="6">
                  <c:v>65.2091322967527</c:v>
                </c:pt>
                <c:pt idx="7">
                  <c:v>68.0033293544474</c:v>
                </c:pt>
                <c:pt idx="8">
                  <c:v>70.4499014125131</c:v>
                </c:pt>
                <c:pt idx="9">
                  <c:v>72.3392129390186</c:v>
                </c:pt>
                <c:pt idx="10">
                  <c:v>73.9246803412143</c:v>
                </c:pt>
                <c:pt idx="11">
                  <c:v>75.2740063178721</c:v>
                </c:pt>
                <c:pt idx="12">
                  <c:v>76.4361701778326</c:v>
                </c:pt>
                <c:pt idx="13">
                  <c:v>77.4474817940528</c:v>
                </c:pt>
                <c:pt idx="14">
                  <c:v>78.3354292752837</c:v>
                </c:pt>
                <c:pt idx="15">
                  <c:v>79.1212046991973</c:v>
                </c:pt>
                <c:pt idx="16">
                  <c:v>79.8214090814333</c:v>
                </c:pt>
                <c:pt idx="17">
                  <c:v>80.4492317622651</c:v>
                </c:pt>
                <c:pt idx="18">
                  <c:v>81.0152839957817</c:v>
                </c:pt>
                <c:pt idx="19">
                  <c:v>81.5281995168546</c:v>
                </c:pt>
                <c:pt idx="20">
                  <c:v>81.9950746986149</c:v>
                </c:pt>
                <c:pt idx="21">
                  <c:v>82.4217961557705</c:v>
                </c:pt>
                <c:pt idx="22">
                  <c:v>82.8132879997206</c:v>
                </c:pt>
                <c:pt idx="23">
                  <c:v>83.173700833219</c:v>
                </c:pt>
                <c:pt idx="24">
                  <c:v>83.50655789521</c:v>
                </c:pt>
                <c:pt idx="25">
                  <c:v>83.8148692774524</c:v>
                </c:pt>
                <c:pt idx="26">
                  <c:v>84.1012220649329</c:v>
                </c:pt>
                <c:pt idx="27">
                  <c:v>84.3678521200907</c:v>
                </c:pt>
                <c:pt idx="28">
                  <c:v>84.6167017287616</c:v>
                </c:pt>
                <c:pt idx="29">
                  <c:v>84.849466253298</c:v>
                </c:pt>
                <c:pt idx="30">
                  <c:v>85.0676321631931</c:v>
                </c:pt>
                <c:pt idx="31">
                  <c:v>85.2725082468756</c:v>
                </c:pt>
                <c:pt idx="32">
                  <c:v>85.4652513896591</c:v>
                </c:pt>
                <c:pt idx="33">
                  <c:v>85.6468879904052</c:v>
                </c:pt>
                <c:pt idx="34">
                  <c:v>85.81833185414</c:v>
                </c:pt>
                <c:pt idx="35">
                  <c:v>85.9803992190836</c:v>
                </c:pt>
                <c:pt idx="36">
                  <c:v>86.1338214395998</c:v>
                </c:pt>
                <c:pt idx="37">
                  <c:v>86.2792557408523</c:v>
                </c:pt>
                <c:pt idx="38">
                  <c:v>86.4172943787518</c:v>
                </c:pt>
                <c:pt idx="39">
                  <c:v>86.5484724744168</c:v>
                </c:pt>
                <c:pt idx="40">
                  <c:v>86.6732747416492</c:v>
                </c:pt>
                <c:pt idx="41">
                  <c:v>86.7921412857077</c:v>
                </c:pt>
                <c:pt idx="42">
                  <c:v>86.9054726195886</c:v>
                </c:pt>
                <c:pt idx="43">
                  <c:v>87.0136340182904</c:v>
                </c:pt>
                <c:pt idx="44">
                  <c:v>87.116959310801</c:v>
                </c:pt>
                <c:pt idx="45">
                  <c:v>87.21575419273</c:v>
                </c:pt>
                <c:pt idx="46">
                  <c:v>87.310299128826</c:v>
                </c:pt>
                <c:pt idx="47">
                  <c:v>87.4008519034145</c:v>
                </c:pt>
                <c:pt idx="48">
                  <c:v>87.4876498675972</c:v>
                </c:pt>
                <c:pt idx="49">
                  <c:v>87.5709119244561</c:v>
                </c:pt>
                <c:pt idx="50">
                  <c:v>87.6508402872217</c:v>
                </c:pt>
                <c:pt idx="51">
                  <c:v>87.7276220401287</c:v>
                </c:pt>
                <c:pt idx="52">
                  <c:v>87.801430527321</c:v>
                </c:pt>
                <c:pt idx="53">
                  <c:v>87.8724265915059</c:v>
                </c:pt>
                <c:pt idx="54">
                  <c:v>87.9407596809862</c:v>
                </c:pt>
                <c:pt idx="55">
                  <c:v>88.0065688411025</c:v>
                </c:pt>
                <c:pt idx="56">
                  <c:v>88.0699836039262</c:v>
                </c:pt>
                <c:pt idx="57">
                  <c:v>88.1311247881813</c:v>
                </c:pt>
                <c:pt idx="58">
                  <c:v>88.1901052197868</c:v>
                </c:pt>
                <c:pt idx="59">
                  <c:v>88.2470303820615</c:v>
                </c:pt>
                <c:pt idx="60">
                  <c:v>88.301999003473</c:v>
                </c:pt>
                <c:pt idx="61">
                  <c:v>88.3551035898189</c:v>
                </c:pt>
                <c:pt idx="62">
                  <c:v>88.4064309068758</c:v>
                </c:pt>
                <c:pt idx="63">
                  <c:v>88.4560624188111</c:v>
                </c:pt>
                <c:pt idx="64">
                  <c:v>88.5040746870177</c:v>
                </c:pt>
                <c:pt idx="65">
                  <c:v>88.5505397334775</c:v>
                </c:pt>
                <c:pt idx="66">
                  <c:v>88.5955253722804</c:v>
                </c:pt>
                <c:pt idx="67">
                  <c:v>88.6390955125087</c:v>
                </c:pt>
                <c:pt idx="68">
                  <c:v>88.6813104353299</c:v>
                </c:pt>
                <c:pt idx="69">
                  <c:v>88.7222270478258</c:v>
                </c:pt>
                <c:pt idx="70">
                  <c:v>88.7618991158046</c:v>
                </c:pt>
                <c:pt idx="71">
                  <c:v>88.8003774775983</c:v>
                </c:pt>
                <c:pt idx="72">
                  <c:v>88.8377102406329</c:v>
                </c:pt>
                <c:pt idx="73">
                  <c:v>88.8739429623704</c:v>
                </c:pt>
                <c:pt idx="74">
                  <c:v>88.9091188170518</c:v>
                </c:pt>
                <c:pt idx="75">
                  <c:v>88.9432787495253</c:v>
                </c:pt>
                <c:pt idx="76">
                  <c:v>88.9764616173113</c:v>
                </c:pt>
                <c:pt idx="77">
                  <c:v>89.0087043219409</c:v>
                </c:pt>
                <c:pt idx="78">
                  <c:v>89.0400419305004</c:v>
                </c:pt>
                <c:pt idx="79">
                  <c:v>89.0705077882244</c:v>
                </c:pt>
                <c:pt idx="80">
                  <c:v>89.1001336228957</c:v>
                </c:pt>
                <c:pt idx="81">
                  <c:v>89.1289496417412</c:v>
                </c:pt>
                <c:pt idx="82">
                  <c:v>89.1569846214441</c:v>
                </c:pt>
                <c:pt idx="83">
                  <c:v>89.1842659918369</c:v>
                </c:pt>
                <c:pt idx="84">
                  <c:v>89.2108199137864</c:v>
                </c:pt>
                <c:pt idx="85">
                  <c:v>89.2366713517367</c:v>
                </c:pt>
                <c:pt idx="86">
                  <c:v>89.2618441413306</c:v>
                </c:pt>
                <c:pt idx="87">
                  <c:v>89.2863610524971</c:v>
                </c:pt>
                <c:pt idx="88">
                  <c:v>89.3102438483544</c:v>
                </c:pt>
                <c:pt idx="89">
                  <c:v>89.3335133402483</c:v>
                </c:pt>
                <c:pt idx="90">
                  <c:v>89.3561894392194</c:v>
                </c:pt>
                <c:pt idx="91">
                  <c:v>89.3782912041669</c:v>
                </c:pt>
                <c:pt idx="92">
                  <c:v>89.3998368869526</c:v>
                </c:pt>
                <c:pt idx="93">
                  <c:v>89.4208439746699</c:v>
                </c:pt>
                <c:pt idx="94">
                  <c:v>89.4413292292841</c:v>
                </c:pt>
                <c:pt idx="95">
                  <c:v>89.4613087248327</c:v>
                </c:pt>
                <c:pt idx="96">
                  <c:v>89.480797882358</c:v>
                </c:pt>
                <c:pt idx="97">
                  <c:v>89.4998115027328</c:v>
                </c:pt>
                <c:pt idx="98">
                  <c:v>89.5183637975262</c:v>
                </c:pt>
                <c:pt idx="99">
                  <c:v>89.5364684180432</c:v>
                </c:pt>
                <c:pt idx="100">
                  <c:v>89.5541384826648</c:v>
                </c:pt>
                <c:pt idx="101">
                  <c:v>89.5713866026017</c:v>
                </c:pt>
                <c:pt idx="102">
                  <c:v>89.5882249061695</c:v>
                </c:pt>
                <c:pt idx="103">
                  <c:v>89.6046650616826</c:v>
                </c:pt>
                <c:pt idx="104">
                  <c:v>89.6207182990576</c:v>
                </c:pt>
                <c:pt idx="105">
                  <c:v>89.6363954302111</c:v>
                </c:pt>
                <c:pt idx="106">
                  <c:v>89.6517068683286</c:v>
                </c:pt>
                <c:pt idx="107">
                  <c:v>89.6666626460773</c:v>
                </c:pt>
                <c:pt idx="108">
                  <c:v>89.6812724328302</c:v>
                </c:pt>
                <c:pt idx="109">
                  <c:v>89.6955455509623</c:v>
                </c:pt>
                <c:pt idx="110">
                  <c:v>89.7094909912776</c:v>
                </c:pt>
                <c:pt idx="111">
                  <c:v>89.7231174276207</c:v>
                </c:pt>
                <c:pt idx="112">
                  <c:v>89.7364332307222</c:v>
                </c:pt>
                <c:pt idx="113">
                  <c:v>89.7494464813242</c:v>
                </c:pt>
                <c:pt idx="114">
                  <c:v>89.7621649826307</c:v>
                </c:pt>
                <c:pt idx="115">
                  <c:v>89.7745962721207</c:v>
                </c:pt>
                <c:pt idx="116">
                  <c:v>89.7867476327642</c:v>
                </c:pt>
                <c:pt idx="117">
                  <c:v>89.7986261036741</c:v>
                </c:pt>
                <c:pt idx="118">
                  <c:v>89.8102384902277</c:v>
                </c:pt>
                <c:pt idx="119">
                  <c:v>89.8215913736885</c:v>
                </c:pt>
                <c:pt idx="120">
                  <c:v>89.8326911203564</c:v>
                </c:pt>
                <c:pt idx="121">
                  <c:v>89.843543890273</c:v>
                </c:pt>
                <c:pt idx="122">
                  <c:v>89.8541556455078</c:v>
                </c:pt>
                <c:pt idx="123">
                  <c:v>89.8645321580478</c:v>
                </c:pt>
                <c:pt idx="124">
                  <c:v>89.8746790173122</c:v>
                </c:pt>
                <c:pt idx="125">
                  <c:v>89.8846016373149</c:v>
                </c:pt>
                <c:pt idx="126">
                  <c:v>89.8943052634908</c:v>
                </c:pt>
                <c:pt idx="127">
                  <c:v>89.9037949792069</c:v>
                </c:pt>
                <c:pt idx="128">
                  <c:v>89.913075711973</c:v>
                </c:pt>
                <c:pt idx="129">
                  <c:v>89.9221522393701</c:v>
                </c:pt>
                <c:pt idx="130">
                  <c:v>89.9310291947094</c:v>
                </c:pt>
                <c:pt idx="131">
                  <c:v>89.9397110724367</c:v>
                </c:pt>
                <c:pt idx="132">
                  <c:v>89.9482022332968</c:v>
                </c:pt>
                <c:pt idx="133">
                  <c:v>89.9565069092679</c:v>
                </c:pt>
                <c:pt idx="134">
                  <c:v>89.9646292082799</c:v>
                </c:pt>
                <c:pt idx="135">
                  <c:v>89.9725731187261</c:v>
                </c:pt>
                <c:pt idx="136">
                  <c:v>89.98034251378</c:v>
                </c:pt>
                <c:pt idx="137">
                  <c:v>89.9879411555262</c:v>
                </c:pt>
                <c:pt idx="138">
                  <c:v>89.9953726989143</c:v>
                </c:pt>
                <c:pt idx="139">
                  <c:v>90.0026406955462</c:v>
                </c:pt>
                <c:pt idx="140">
                  <c:v>90.0097485973026</c:v>
                </c:pt>
                <c:pt idx="141">
                  <c:v>90.016699759819</c:v>
                </c:pt>
                <c:pt idx="142">
                  <c:v>90.0234974458166</c:v>
                </c:pt>
                <c:pt idx="143">
                  <c:v>90.0301448282959</c:v>
                </c:pt>
                <c:pt idx="144">
                  <c:v>90.0366449936</c:v>
                </c:pt>
                <c:pt idx="145">
                  <c:v>90.0430009443525</c:v>
                </c:pt>
                <c:pt idx="146">
                  <c:v>90.0492156022769</c:v>
                </c:pt>
                <c:pt idx="147">
                  <c:v>90.0552918109035</c:v>
                </c:pt>
                <c:pt idx="148">
                  <c:v>90.0612323381674</c:v>
                </c:pt>
                <c:pt idx="149">
                  <c:v>90.067039878904</c:v>
                </c:pt>
                <c:pt idx="150">
                  <c:v>90.0727170572463</c:v>
                </c:pt>
              </c:numCache>
            </c:numRef>
          </c:yVal>
          <c:smooth val="0"/>
        </c:ser>
        <c:dLbls>
          <c:showLegendKey val="0"/>
          <c:showVal val="0"/>
          <c:showCatName val="0"/>
          <c:showSerName val="0"/>
          <c:showPercent val="0"/>
          <c:showBubbleSize val="0"/>
        </c:dLbls>
        <c:axId val="178605056"/>
        <c:axId val="178615040"/>
      </c:scatterChart>
      <c:scatterChart>
        <c:scatterStyle val="smooth"/>
        <c:varyColors val="0"/>
        <c:ser>
          <c:idx val="1"/>
          <c:order val="1"/>
          <c:tx>
            <c:strRef>
              <c:f>"MOSFET"</c:f>
              <c:strCache>
                <c:ptCount val="1"/>
                <c:pt idx="0">
                  <c:v>MOSFET</c:v>
                </c:pt>
              </c:strCache>
            </c:strRef>
          </c:tx>
          <c:spPr>
            <a:ln w="28575" cap="rnd" cmpd="sng" algn="ctr">
              <a:solidFill>
                <a:schemeClr val="tx2">
                  <a:lumMod val="75000"/>
                </a:schemeClr>
              </a:solidFill>
              <a:prstDash val="dashDot"/>
              <a:round/>
            </a:ln>
          </c:spPr>
          <c:marker>
            <c:symbol val="none"/>
          </c:marker>
          <c:dLbls>
            <c:delete val="1"/>
          </c:dLbls>
          <c:xVal>
            <c:numRef>
              <c:f>Eff_vs_IOUT!$S$7:$S$157</c:f>
              <c:numCache>
                <c:formatCode>General</c:formatCode>
                <c:ptCount val="151"/>
                <c:pt idx="0">
                  <c:v>0</c:v>
                </c:pt>
                <c:pt idx="1">
                  <c:v>0.00666666666666667</c:v>
                </c:pt>
                <c:pt idx="2">
                  <c:v>0.0133333333333333</c:v>
                </c:pt>
                <c:pt idx="3">
                  <c:v>0.02</c:v>
                </c:pt>
                <c:pt idx="4">
                  <c:v>0.0266666666666667</c:v>
                </c:pt>
                <c:pt idx="5">
                  <c:v>0.0333333333333333</c:v>
                </c:pt>
                <c:pt idx="6">
                  <c:v>0.04</c:v>
                </c:pt>
                <c:pt idx="7">
                  <c:v>0.0466666666666667</c:v>
                </c:pt>
                <c:pt idx="8">
                  <c:v>0.0533333333333333</c:v>
                </c:pt>
                <c:pt idx="9">
                  <c:v>0.06</c:v>
                </c:pt>
                <c:pt idx="10">
                  <c:v>0.0666666666666667</c:v>
                </c:pt>
                <c:pt idx="11">
                  <c:v>0.0733333333333333</c:v>
                </c:pt>
                <c:pt idx="12">
                  <c:v>0.08</c:v>
                </c:pt>
                <c:pt idx="13">
                  <c:v>0.0866666666666667</c:v>
                </c:pt>
                <c:pt idx="14">
                  <c:v>0.0933333333333333</c:v>
                </c:pt>
                <c:pt idx="15">
                  <c:v>0.1</c:v>
                </c:pt>
                <c:pt idx="16">
                  <c:v>0.106666666666667</c:v>
                </c:pt>
                <c:pt idx="17">
                  <c:v>0.113333333333333</c:v>
                </c:pt>
                <c:pt idx="18">
                  <c:v>0.12</c:v>
                </c:pt>
                <c:pt idx="19">
                  <c:v>0.126666666666667</c:v>
                </c:pt>
                <c:pt idx="20">
                  <c:v>0.133333333333333</c:v>
                </c:pt>
                <c:pt idx="21">
                  <c:v>0.14</c:v>
                </c:pt>
                <c:pt idx="22">
                  <c:v>0.146666666666667</c:v>
                </c:pt>
                <c:pt idx="23">
                  <c:v>0.153333333333333</c:v>
                </c:pt>
                <c:pt idx="24">
                  <c:v>0.16</c:v>
                </c:pt>
                <c:pt idx="25">
                  <c:v>0.166666666666667</c:v>
                </c:pt>
                <c:pt idx="26">
                  <c:v>0.173333333333333</c:v>
                </c:pt>
                <c:pt idx="27">
                  <c:v>0.18</c:v>
                </c:pt>
                <c:pt idx="28">
                  <c:v>0.186666666666667</c:v>
                </c:pt>
                <c:pt idx="29">
                  <c:v>0.193333333333333</c:v>
                </c:pt>
                <c:pt idx="30">
                  <c:v>0.2</c:v>
                </c:pt>
                <c:pt idx="31">
                  <c:v>0.206666666666667</c:v>
                </c:pt>
                <c:pt idx="32">
                  <c:v>0.213333333333333</c:v>
                </c:pt>
                <c:pt idx="33">
                  <c:v>0.22</c:v>
                </c:pt>
                <c:pt idx="34">
                  <c:v>0.226666666666667</c:v>
                </c:pt>
                <c:pt idx="35">
                  <c:v>0.233333333333333</c:v>
                </c:pt>
                <c:pt idx="36">
                  <c:v>0.24</c:v>
                </c:pt>
                <c:pt idx="37">
                  <c:v>0.246666666666667</c:v>
                </c:pt>
                <c:pt idx="38">
                  <c:v>0.253333333333333</c:v>
                </c:pt>
                <c:pt idx="39">
                  <c:v>0.26</c:v>
                </c:pt>
                <c:pt idx="40">
                  <c:v>0.266666666666667</c:v>
                </c:pt>
                <c:pt idx="41">
                  <c:v>0.273333333333333</c:v>
                </c:pt>
                <c:pt idx="42">
                  <c:v>0.28</c:v>
                </c:pt>
                <c:pt idx="43">
                  <c:v>0.286666666666667</c:v>
                </c:pt>
                <c:pt idx="44">
                  <c:v>0.293333333333333</c:v>
                </c:pt>
                <c:pt idx="45">
                  <c:v>0.3</c:v>
                </c:pt>
                <c:pt idx="46">
                  <c:v>0.306666666666667</c:v>
                </c:pt>
                <c:pt idx="47">
                  <c:v>0.313333333333333</c:v>
                </c:pt>
                <c:pt idx="48">
                  <c:v>0.32</c:v>
                </c:pt>
                <c:pt idx="49">
                  <c:v>0.326666666666667</c:v>
                </c:pt>
                <c:pt idx="50">
                  <c:v>0.333333333333333</c:v>
                </c:pt>
                <c:pt idx="51">
                  <c:v>0.34</c:v>
                </c:pt>
                <c:pt idx="52">
                  <c:v>0.346666666666667</c:v>
                </c:pt>
                <c:pt idx="53">
                  <c:v>0.353333333333333</c:v>
                </c:pt>
                <c:pt idx="54">
                  <c:v>0.36</c:v>
                </c:pt>
                <c:pt idx="55">
                  <c:v>0.366666666666667</c:v>
                </c:pt>
                <c:pt idx="56">
                  <c:v>0.373333333333333</c:v>
                </c:pt>
                <c:pt idx="57">
                  <c:v>0.38</c:v>
                </c:pt>
                <c:pt idx="58">
                  <c:v>0.386666666666667</c:v>
                </c:pt>
                <c:pt idx="59">
                  <c:v>0.393333333333333</c:v>
                </c:pt>
                <c:pt idx="60">
                  <c:v>0.4</c:v>
                </c:pt>
                <c:pt idx="61">
                  <c:v>0.406666666666667</c:v>
                </c:pt>
                <c:pt idx="62">
                  <c:v>0.413333333333333</c:v>
                </c:pt>
                <c:pt idx="63">
                  <c:v>0.42</c:v>
                </c:pt>
                <c:pt idx="64">
                  <c:v>0.426666666666667</c:v>
                </c:pt>
                <c:pt idx="65">
                  <c:v>0.433333333333333</c:v>
                </c:pt>
                <c:pt idx="66">
                  <c:v>0.44</c:v>
                </c:pt>
                <c:pt idx="67">
                  <c:v>0.446666666666667</c:v>
                </c:pt>
                <c:pt idx="68">
                  <c:v>0.453333333333333</c:v>
                </c:pt>
                <c:pt idx="69">
                  <c:v>0.46</c:v>
                </c:pt>
                <c:pt idx="70">
                  <c:v>0.466666666666667</c:v>
                </c:pt>
                <c:pt idx="71">
                  <c:v>0.473333333333333</c:v>
                </c:pt>
                <c:pt idx="72">
                  <c:v>0.48</c:v>
                </c:pt>
                <c:pt idx="73">
                  <c:v>0.486666666666667</c:v>
                </c:pt>
                <c:pt idx="74">
                  <c:v>0.493333333333333</c:v>
                </c:pt>
                <c:pt idx="75">
                  <c:v>0.5</c:v>
                </c:pt>
                <c:pt idx="76">
                  <c:v>0.506666666666667</c:v>
                </c:pt>
                <c:pt idx="77">
                  <c:v>0.513333333333333</c:v>
                </c:pt>
                <c:pt idx="78">
                  <c:v>0.52</c:v>
                </c:pt>
                <c:pt idx="79">
                  <c:v>0.526666666666667</c:v>
                </c:pt>
                <c:pt idx="80">
                  <c:v>0.533333333333333</c:v>
                </c:pt>
                <c:pt idx="81">
                  <c:v>0.54</c:v>
                </c:pt>
                <c:pt idx="82">
                  <c:v>0.546666666666667</c:v>
                </c:pt>
                <c:pt idx="83">
                  <c:v>0.553333333333333</c:v>
                </c:pt>
                <c:pt idx="84">
                  <c:v>0.56</c:v>
                </c:pt>
                <c:pt idx="85">
                  <c:v>0.566666666666667</c:v>
                </c:pt>
                <c:pt idx="86">
                  <c:v>0.573333333333333</c:v>
                </c:pt>
                <c:pt idx="87">
                  <c:v>0.58</c:v>
                </c:pt>
                <c:pt idx="88">
                  <c:v>0.586666666666667</c:v>
                </c:pt>
                <c:pt idx="89">
                  <c:v>0.593333333333333</c:v>
                </c:pt>
                <c:pt idx="90">
                  <c:v>0.6</c:v>
                </c:pt>
                <c:pt idx="91">
                  <c:v>0.606666666666667</c:v>
                </c:pt>
                <c:pt idx="92">
                  <c:v>0.613333333333333</c:v>
                </c:pt>
                <c:pt idx="93">
                  <c:v>0.62</c:v>
                </c:pt>
                <c:pt idx="94">
                  <c:v>0.626666666666667</c:v>
                </c:pt>
                <c:pt idx="95">
                  <c:v>0.633333333333333</c:v>
                </c:pt>
                <c:pt idx="96">
                  <c:v>0.64</c:v>
                </c:pt>
                <c:pt idx="97">
                  <c:v>0.646666666666667</c:v>
                </c:pt>
                <c:pt idx="98">
                  <c:v>0.653333333333333</c:v>
                </c:pt>
                <c:pt idx="99">
                  <c:v>0.66</c:v>
                </c:pt>
                <c:pt idx="100">
                  <c:v>0.666666666666667</c:v>
                </c:pt>
                <c:pt idx="101">
                  <c:v>0.673333333333333</c:v>
                </c:pt>
                <c:pt idx="102">
                  <c:v>0.68</c:v>
                </c:pt>
                <c:pt idx="103">
                  <c:v>0.686666666666667</c:v>
                </c:pt>
                <c:pt idx="104">
                  <c:v>0.693333333333333</c:v>
                </c:pt>
                <c:pt idx="105">
                  <c:v>0.7</c:v>
                </c:pt>
                <c:pt idx="106">
                  <c:v>0.706666666666667</c:v>
                </c:pt>
                <c:pt idx="107">
                  <c:v>0.713333333333333</c:v>
                </c:pt>
                <c:pt idx="108">
                  <c:v>0.72</c:v>
                </c:pt>
                <c:pt idx="109">
                  <c:v>0.726666666666667</c:v>
                </c:pt>
                <c:pt idx="110">
                  <c:v>0.733333333333333</c:v>
                </c:pt>
                <c:pt idx="111">
                  <c:v>0.74</c:v>
                </c:pt>
                <c:pt idx="112">
                  <c:v>0.746666666666667</c:v>
                </c:pt>
                <c:pt idx="113">
                  <c:v>0.753333333333333</c:v>
                </c:pt>
                <c:pt idx="114">
                  <c:v>0.76</c:v>
                </c:pt>
                <c:pt idx="115">
                  <c:v>0.766666666666667</c:v>
                </c:pt>
                <c:pt idx="116">
                  <c:v>0.773333333333333</c:v>
                </c:pt>
                <c:pt idx="117">
                  <c:v>0.78</c:v>
                </c:pt>
                <c:pt idx="118">
                  <c:v>0.786666666666667</c:v>
                </c:pt>
                <c:pt idx="119">
                  <c:v>0.793333333333333</c:v>
                </c:pt>
                <c:pt idx="120">
                  <c:v>0.8</c:v>
                </c:pt>
                <c:pt idx="121">
                  <c:v>0.806666666666667</c:v>
                </c:pt>
                <c:pt idx="122">
                  <c:v>0.813333333333333</c:v>
                </c:pt>
                <c:pt idx="123">
                  <c:v>0.82</c:v>
                </c:pt>
                <c:pt idx="124">
                  <c:v>0.826666666666667</c:v>
                </c:pt>
                <c:pt idx="125">
                  <c:v>0.833333333333333</c:v>
                </c:pt>
                <c:pt idx="126">
                  <c:v>0.84</c:v>
                </c:pt>
                <c:pt idx="127">
                  <c:v>0.846666666666667</c:v>
                </c:pt>
                <c:pt idx="128">
                  <c:v>0.853333333333333</c:v>
                </c:pt>
                <c:pt idx="129">
                  <c:v>0.86</c:v>
                </c:pt>
                <c:pt idx="130">
                  <c:v>0.866666666666667</c:v>
                </c:pt>
                <c:pt idx="131">
                  <c:v>0.873333333333333</c:v>
                </c:pt>
                <c:pt idx="132">
                  <c:v>0.88</c:v>
                </c:pt>
                <c:pt idx="133">
                  <c:v>0.886666666666667</c:v>
                </c:pt>
                <c:pt idx="134">
                  <c:v>0.893333333333333</c:v>
                </c:pt>
                <c:pt idx="135">
                  <c:v>0.9</c:v>
                </c:pt>
                <c:pt idx="136">
                  <c:v>0.906666666666667</c:v>
                </c:pt>
                <c:pt idx="137">
                  <c:v>0.913333333333333</c:v>
                </c:pt>
                <c:pt idx="138">
                  <c:v>0.92</c:v>
                </c:pt>
                <c:pt idx="139">
                  <c:v>0.926666666666667</c:v>
                </c:pt>
                <c:pt idx="140">
                  <c:v>0.933333333333333</c:v>
                </c:pt>
                <c:pt idx="141">
                  <c:v>0.94</c:v>
                </c:pt>
                <c:pt idx="142">
                  <c:v>0.946666666666667</c:v>
                </c:pt>
                <c:pt idx="143">
                  <c:v>0.953333333333333</c:v>
                </c:pt>
                <c:pt idx="144">
                  <c:v>0.96</c:v>
                </c:pt>
                <c:pt idx="145">
                  <c:v>0.966666666666667</c:v>
                </c:pt>
                <c:pt idx="146">
                  <c:v>0.973333333333333</c:v>
                </c:pt>
                <c:pt idx="147">
                  <c:v>0.98</c:v>
                </c:pt>
                <c:pt idx="148">
                  <c:v>0.986666666666667</c:v>
                </c:pt>
                <c:pt idx="149">
                  <c:v>0.993333333333333</c:v>
                </c:pt>
                <c:pt idx="150">
                  <c:v>1</c:v>
                </c:pt>
              </c:numCache>
            </c:numRef>
          </c:xVal>
          <c:yVal>
            <c:numRef>
              <c:f>Eff_vs_IOUT!$AI$7:$AI$157</c:f>
              <c:numCache>
                <c:formatCode>General</c:formatCode>
                <c:ptCount val="151"/>
                <c:pt idx="0">
                  <c:v>0</c:v>
                </c:pt>
                <c:pt idx="1">
                  <c:v>-6.10239926439246e-5</c:v>
                </c:pt>
                <c:pt idx="2">
                  <c:v>-0.000109023398347973</c:v>
                </c:pt>
                <c:pt idx="3">
                  <c:v>-0.000145197474594362</c:v>
                </c:pt>
                <c:pt idx="4">
                  <c:v>-0.000169656455882618</c:v>
                </c:pt>
                <c:pt idx="5">
                  <c:v>-0.000182295122667928</c:v>
                </c:pt>
                <c:pt idx="6">
                  <c:v>-0.000182926491408843</c:v>
                </c:pt>
                <c:pt idx="7">
                  <c:v>-0.000171326008440856</c:v>
                </c:pt>
                <c:pt idx="8">
                  <c:v>-0.000496127842156365</c:v>
                </c:pt>
                <c:pt idx="9">
                  <c:v>-0.000557941643778787</c:v>
                </c:pt>
                <c:pt idx="10">
                  <c:v>-0.000618660245401209</c:v>
                </c:pt>
                <c:pt idx="11">
                  <c:v>-0.000678283647023631</c:v>
                </c:pt>
                <c:pt idx="12">
                  <c:v>-0.000736811848646053</c:v>
                </c:pt>
                <c:pt idx="13">
                  <c:v>-0.000794244850268475</c:v>
                </c:pt>
                <c:pt idx="14">
                  <c:v>-0.000850582651890897</c:v>
                </c:pt>
                <c:pt idx="15">
                  <c:v>-0.000905825253513319</c:v>
                </c:pt>
                <c:pt idx="16">
                  <c:v>-0.00095997265513574</c:v>
                </c:pt>
                <c:pt idx="17">
                  <c:v>-0.00101302485675816</c:v>
                </c:pt>
                <c:pt idx="18">
                  <c:v>-0.00106498185838058</c:v>
                </c:pt>
                <c:pt idx="19">
                  <c:v>-0.00111584366000301</c:v>
                </c:pt>
                <c:pt idx="20">
                  <c:v>-0.00116561026162543</c:v>
                </c:pt>
                <c:pt idx="21">
                  <c:v>-0.00121428166324785</c:v>
                </c:pt>
                <c:pt idx="22">
                  <c:v>-0.00126185786487027</c:v>
                </c:pt>
                <c:pt idx="23">
                  <c:v>-0.00130833886649269</c:v>
                </c:pt>
                <c:pt idx="24">
                  <c:v>-0.00135372466811512</c:v>
                </c:pt>
                <c:pt idx="25">
                  <c:v>-0.00139801526973754</c:v>
                </c:pt>
                <c:pt idx="26">
                  <c:v>-0.00144121067135996</c:v>
                </c:pt>
                <c:pt idx="27">
                  <c:v>-0.00148331087298238</c:v>
                </c:pt>
                <c:pt idx="28">
                  <c:v>-0.0015243158746048</c:v>
                </c:pt>
                <c:pt idx="29">
                  <c:v>-0.00156422567622723</c:v>
                </c:pt>
                <c:pt idx="30">
                  <c:v>-0.00160304027784965</c:v>
                </c:pt>
                <c:pt idx="31">
                  <c:v>-0.00164075967947207</c:v>
                </c:pt>
                <c:pt idx="32">
                  <c:v>-0.00167738388109449</c:v>
                </c:pt>
                <c:pt idx="33">
                  <c:v>-0.00171291288271691</c:v>
                </c:pt>
                <c:pt idx="34">
                  <c:v>-0.00174734668433933</c:v>
                </c:pt>
                <c:pt idx="35">
                  <c:v>-0.00178068528596176</c:v>
                </c:pt>
                <c:pt idx="36">
                  <c:v>-0.00181292868758418</c:v>
                </c:pt>
                <c:pt idx="37">
                  <c:v>-0.0018440768892066</c:v>
                </c:pt>
                <c:pt idx="38">
                  <c:v>-0.00187412989082902</c:v>
                </c:pt>
                <c:pt idx="39">
                  <c:v>-0.00190308769245144</c:v>
                </c:pt>
                <c:pt idx="40">
                  <c:v>-0.00193095029407387</c:v>
                </c:pt>
                <c:pt idx="41">
                  <c:v>-0.00195771769569629</c:v>
                </c:pt>
                <c:pt idx="42">
                  <c:v>-0.00198338989731871</c:v>
                </c:pt>
                <c:pt idx="43">
                  <c:v>-0.00200796689894113</c:v>
                </c:pt>
                <c:pt idx="44">
                  <c:v>-0.00203144870056355</c:v>
                </c:pt>
                <c:pt idx="45">
                  <c:v>-0.00205383530218597</c:v>
                </c:pt>
                <c:pt idx="46">
                  <c:v>-0.0020751267038084</c:v>
                </c:pt>
                <c:pt idx="47">
                  <c:v>-0.00209532290543082</c:v>
                </c:pt>
                <c:pt idx="48">
                  <c:v>-0.00211442390705324</c:v>
                </c:pt>
                <c:pt idx="49">
                  <c:v>-0.00213242970867566</c:v>
                </c:pt>
                <c:pt idx="50">
                  <c:v>-0.00214934031029808</c:v>
                </c:pt>
                <c:pt idx="51">
                  <c:v>-0.00216515571192051</c:v>
                </c:pt>
                <c:pt idx="52">
                  <c:v>-0.00217987591354293</c:v>
                </c:pt>
                <c:pt idx="53">
                  <c:v>-0.00219350091516535</c:v>
                </c:pt>
                <c:pt idx="54">
                  <c:v>-0.00220603071678777</c:v>
                </c:pt>
                <c:pt idx="55">
                  <c:v>-0.00221746531841019</c:v>
                </c:pt>
                <c:pt idx="56">
                  <c:v>-0.00222780472003261</c:v>
                </c:pt>
                <c:pt idx="57">
                  <c:v>-0.00223704892165504</c:v>
                </c:pt>
                <c:pt idx="58">
                  <c:v>-0.00224519792327746</c:v>
                </c:pt>
                <c:pt idx="59">
                  <c:v>-0.00225225172489988</c:v>
                </c:pt>
                <c:pt idx="60">
                  <c:v>-0.0022582103265223</c:v>
                </c:pt>
                <c:pt idx="61">
                  <c:v>-0.00226307372814472</c:v>
                </c:pt>
                <c:pt idx="62">
                  <c:v>-0.00226684192976715</c:v>
                </c:pt>
                <c:pt idx="63">
                  <c:v>-0.00226951493138957</c:v>
                </c:pt>
                <c:pt idx="64">
                  <c:v>-0.00227109273301199</c:v>
                </c:pt>
                <c:pt idx="65">
                  <c:v>-0.00227157533463441</c:v>
                </c:pt>
                <c:pt idx="66">
                  <c:v>-0.00227096273625683</c:v>
                </c:pt>
                <c:pt idx="67">
                  <c:v>-0.00226925493787925</c:v>
                </c:pt>
                <c:pt idx="68">
                  <c:v>-0.00226645193950168</c:v>
                </c:pt>
                <c:pt idx="69">
                  <c:v>-0.0022625537411241</c:v>
                </c:pt>
                <c:pt idx="70">
                  <c:v>-0.00225756034274652</c:v>
                </c:pt>
                <c:pt idx="71">
                  <c:v>-0.00225147174436894</c:v>
                </c:pt>
                <c:pt idx="72">
                  <c:v>-0.00224428794599136</c:v>
                </c:pt>
                <c:pt idx="73">
                  <c:v>-0.00223600894761379</c:v>
                </c:pt>
                <c:pt idx="74">
                  <c:v>-0.00222663474923621</c:v>
                </c:pt>
                <c:pt idx="75">
                  <c:v>-0.00221616535085863</c:v>
                </c:pt>
                <c:pt idx="76">
                  <c:v>-0.00220460075248105</c:v>
                </c:pt>
                <c:pt idx="77">
                  <c:v>-0.00219194095410347</c:v>
                </c:pt>
                <c:pt idx="78">
                  <c:v>-0.0021781859557259</c:v>
                </c:pt>
                <c:pt idx="79">
                  <c:v>-0.00216333575734832</c:v>
                </c:pt>
                <c:pt idx="80">
                  <c:v>-0.00214739035897074</c:v>
                </c:pt>
                <c:pt idx="81">
                  <c:v>-0.00213034976059316</c:v>
                </c:pt>
                <c:pt idx="82">
                  <c:v>-0.00211221396221558</c:v>
                </c:pt>
                <c:pt idx="83">
                  <c:v>-0.00209298296383801</c:v>
                </c:pt>
                <c:pt idx="84">
                  <c:v>-0.00207265676546043</c:v>
                </c:pt>
                <c:pt idx="85">
                  <c:v>-0.00205123536708285</c:v>
                </c:pt>
                <c:pt idx="86">
                  <c:v>-0.00202871876870527</c:v>
                </c:pt>
                <c:pt idx="87">
                  <c:v>-0.00200510697032769</c:v>
                </c:pt>
                <c:pt idx="88">
                  <c:v>-0.00198039997195012</c:v>
                </c:pt>
                <c:pt idx="89">
                  <c:v>-0.00195459777357254</c:v>
                </c:pt>
                <c:pt idx="90">
                  <c:v>-0.00192770037519496</c:v>
                </c:pt>
                <c:pt idx="91">
                  <c:v>-0.00189970777681738</c:v>
                </c:pt>
                <c:pt idx="92">
                  <c:v>-0.0018706199784398</c:v>
                </c:pt>
                <c:pt idx="93">
                  <c:v>-0.00184043698006222</c:v>
                </c:pt>
                <c:pt idx="94">
                  <c:v>-0.00180915878168464</c:v>
                </c:pt>
                <c:pt idx="95">
                  <c:v>-0.00177678538330707</c:v>
                </c:pt>
                <c:pt idx="96">
                  <c:v>-0.00174331678492949</c:v>
                </c:pt>
                <c:pt idx="97">
                  <c:v>-0.00170875298655191</c:v>
                </c:pt>
                <c:pt idx="98">
                  <c:v>-0.00167309398817433</c:v>
                </c:pt>
                <c:pt idx="99">
                  <c:v>-0.00163633978979676</c:v>
                </c:pt>
                <c:pt idx="100">
                  <c:v>-0.00159849039141918</c:v>
                </c:pt>
                <c:pt idx="101">
                  <c:v>-0.0015595457930416</c:v>
                </c:pt>
                <c:pt idx="102">
                  <c:v>-0.00151950599466402</c:v>
                </c:pt>
                <c:pt idx="103">
                  <c:v>-0.00147837099628644</c:v>
                </c:pt>
                <c:pt idx="104">
                  <c:v>-0.00143614079790886</c:v>
                </c:pt>
                <c:pt idx="105">
                  <c:v>-0.00139281539953129</c:v>
                </c:pt>
                <c:pt idx="106">
                  <c:v>-0.00134839480115371</c:v>
                </c:pt>
                <c:pt idx="107">
                  <c:v>-0.00130287900277613</c:v>
                </c:pt>
                <c:pt idx="108">
                  <c:v>-0.00125626800439855</c:v>
                </c:pt>
                <c:pt idx="109">
                  <c:v>-0.00120856180602098</c:v>
                </c:pt>
                <c:pt idx="110">
                  <c:v>-0.0011597604076434</c:v>
                </c:pt>
                <c:pt idx="111">
                  <c:v>-0.00110986380926582</c:v>
                </c:pt>
                <c:pt idx="112">
                  <c:v>-0.00105887201088824</c:v>
                </c:pt>
                <c:pt idx="113">
                  <c:v>-0.00100678501251066</c:v>
                </c:pt>
                <c:pt idx="114">
                  <c:v>-0.000953602814133082</c:v>
                </c:pt>
                <c:pt idx="115">
                  <c:v>-0.000899325415755505</c:v>
                </c:pt>
                <c:pt idx="116">
                  <c:v>-0.000843952817377927</c:v>
                </c:pt>
                <c:pt idx="117">
                  <c:v>-0.000787485019000348</c:v>
                </c:pt>
                <c:pt idx="118">
                  <c:v>-0.000729922020622768</c:v>
                </c:pt>
                <c:pt idx="119">
                  <c:v>-0.000671263822245194</c:v>
                </c:pt>
                <c:pt idx="120">
                  <c:v>-0.000611510423867615</c:v>
                </c:pt>
                <c:pt idx="121">
                  <c:v>-0.000550661825490037</c:v>
                </c:pt>
                <c:pt idx="122">
                  <c:v>-0.000488718027112457</c:v>
                </c:pt>
                <c:pt idx="123">
                  <c:v>-0.000425679028734879</c:v>
                </c:pt>
                <c:pt idx="124">
                  <c:v>-0.000361544830357304</c:v>
                </c:pt>
                <c:pt idx="125">
                  <c:v>-0.000296315431979725</c:v>
                </c:pt>
                <c:pt idx="126">
                  <c:v>-0.000229990833602147</c:v>
                </c:pt>
                <c:pt idx="127">
                  <c:v>-0.00016257103522457</c:v>
                </c:pt>
                <c:pt idx="128">
                  <c:v>-9.40560368469911e-5</c:v>
                </c:pt>
                <c:pt idx="129">
                  <c:v>-2.44458384694134e-5</c:v>
                </c:pt>
                <c:pt idx="130">
                  <c:v>4.62595599081683e-5</c:v>
                </c:pt>
                <c:pt idx="131">
                  <c:v>0.000118060158285744</c:v>
                </c:pt>
                <c:pt idx="132">
                  <c:v>0.000190955956663321</c:v>
                </c:pt>
                <c:pt idx="133">
                  <c:v>0.000264946955040901</c:v>
                </c:pt>
                <c:pt idx="134">
                  <c:v>0.000340033153418481</c:v>
                </c:pt>
                <c:pt idx="135">
                  <c:v>0.000416214551796055</c:v>
                </c:pt>
                <c:pt idx="136">
                  <c:v>0.000493491150173636</c:v>
                </c:pt>
                <c:pt idx="137">
                  <c:v>0.000571862948551211</c:v>
                </c:pt>
                <c:pt idx="138">
                  <c:v>0.000651329946928793</c:v>
                </c:pt>
                <c:pt idx="139">
                  <c:v>0.000731892145306369</c:v>
                </c:pt>
                <c:pt idx="140">
                  <c:v>0.000813549543683949</c:v>
                </c:pt>
                <c:pt idx="141">
                  <c:v>0.000896302142061526</c:v>
                </c:pt>
                <c:pt idx="142">
                  <c:v>0.000980149940439101</c:v>
                </c:pt>
                <c:pt idx="143">
                  <c:v>0.00106509293881668</c:v>
                </c:pt>
                <c:pt idx="144">
                  <c:v>0.00115113113719426</c:v>
                </c:pt>
                <c:pt idx="145">
                  <c:v>0.00123826453557184</c:v>
                </c:pt>
                <c:pt idx="146">
                  <c:v>0.00132649313394942</c:v>
                </c:pt>
                <c:pt idx="147">
                  <c:v>0.00141581693232699</c:v>
                </c:pt>
                <c:pt idx="148">
                  <c:v>0.00150623593070457</c:v>
                </c:pt>
                <c:pt idx="149">
                  <c:v>0.00159775012908215</c:v>
                </c:pt>
                <c:pt idx="150">
                  <c:v>0.00169035952745973</c:v>
                </c:pt>
              </c:numCache>
            </c:numRef>
          </c:yVal>
          <c:smooth val="1"/>
        </c:ser>
        <c:ser>
          <c:idx val="2"/>
          <c:order val="2"/>
          <c:tx>
            <c:strRef>
              <c:f>"Diode"</c:f>
              <c:strCache>
                <c:ptCount val="1"/>
                <c:pt idx="0">
                  <c:v>Diode</c:v>
                </c:pt>
              </c:strCache>
            </c:strRef>
          </c:tx>
          <c:spPr>
            <a:ln w="28575" cap="rnd" cmpd="sng" algn="ctr">
              <a:solidFill>
                <a:schemeClr val="bg2">
                  <a:lumMod val="50000"/>
                </a:schemeClr>
              </a:solidFill>
              <a:prstDash val="sysDash"/>
              <a:round/>
            </a:ln>
          </c:spPr>
          <c:marker>
            <c:symbol val="none"/>
          </c:marker>
          <c:dLbls>
            <c:delete val="1"/>
          </c:dLbls>
          <c:xVal>
            <c:numRef>
              <c:f>Eff_vs_IOUT!$S$7:$S$157</c:f>
              <c:numCache>
                <c:formatCode>General</c:formatCode>
                <c:ptCount val="151"/>
                <c:pt idx="0">
                  <c:v>0</c:v>
                </c:pt>
                <c:pt idx="1">
                  <c:v>0.00666666666666667</c:v>
                </c:pt>
                <c:pt idx="2">
                  <c:v>0.0133333333333333</c:v>
                </c:pt>
                <c:pt idx="3">
                  <c:v>0.02</c:v>
                </c:pt>
                <c:pt idx="4">
                  <c:v>0.0266666666666667</c:v>
                </c:pt>
                <c:pt idx="5">
                  <c:v>0.0333333333333333</c:v>
                </c:pt>
                <c:pt idx="6">
                  <c:v>0.04</c:v>
                </c:pt>
                <c:pt idx="7">
                  <c:v>0.0466666666666667</c:v>
                </c:pt>
                <c:pt idx="8">
                  <c:v>0.0533333333333333</c:v>
                </c:pt>
                <c:pt idx="9">
                  <c:v>0.06</c:v>
                </c:pt>
                <c:pt idx="10">
                  <c:v>0.0666666666666667</c:v>
                </c:pt>
                <c:pt idx="11">
                  <c:v>0.0733333333333333</c:v>
                </c:pt>
                <c:pt idx="12">
                  <c:v>0.08</c:v>
                </c:pt>
                <c:pt idx="13">
                  <c:v>0.0866666666666667</c:v>
                </c:pt>
                <c:pt idx="14">
                  <c:v>0.0933333333333333</c:v>
                </c:pt>
                <c:pt idx="15">
                  <c:v>0.1</c:v>
                </c:pt>
                <c:pt idx="16">
                  <c:v>0.106666666666667</c:v>
                </c:pt>
                <c:pt idx="17">
                  <c:v>0.113333333333333</c:v>
                </c:pt>
                <c:pt idx="18">
                  <c:v>0.12</c:v>
                </c:pt>
                <c:pt idx="19">
                  <c:v>0.126666666666667</c:v>
                </c:pt>
                <c:pt idx="20">
                  <c:v>0.133333333333333</c:v>
                </c:pt>
                <c:pt idx="21">
                  <c:v>0.14</c:v>
                </c:pt>
                <c:pt idx="22">
                  <c:v>0.146666666666667</c:v>
                </c:pt>
                <c:pt idx="23">
                  <c:v>0.153333333333333</c:v>
                </c:pt>
                <c:pt idx="24">
                  <c:v>0.16</c:v>
                </c:pt>
                <c:pt idx="25">
                  <c:v>0.166666666666667</c:v>
                </c:pt>
                <c:pt idx="26">
                  <c:v>0.173333333333333</c:v>
                </c:pt>
                <c:pt idx="27">
                  <c:v>0.18</c:v>
                </c:pt>
                <c:pt idx="28">
                  <c:v>0.186666666666667</c:v>
                </c:pt>
                <c:pt idx="29">
                  <c:v>0.193333333333333</c:v>
                </c:pt>
                <c:pt idx="30">
                  <c:v>0.2</c:v>
                </c:pt>
                <c:pt idx="31">
                  <c:v>0.206666666666667</c:v>
                </c:pt>
                <c:pt idx="32">
                  <c:v>0.213333333333333</c:v>
                </c:pt>
                <c:pt idx="33">
                  <c:v>0.22</c:v>
                </c:pt>
                <c:pt idx="34">
                  <c:v>0.226666666666667</c:v>
                </c:pt>
                <c:pt idx="35">
                  <c:v>0.233333333333333</c:v>
                </c:pt>
                <c:pt idx="36">
                  <c:v>0.24</c:v>
                </c:pt>
                <c:pt idx="37">
                  <c:v>0.246666666666667</c:v>
                </c:pt>
                <c:pt idx="38">
                  <c:v>0.253333333333333</c:v>
                </c:pt>
                <c:pt idx="39">
                  <c:v>0.26</c:v>
                </c:pt>
                <c:pt idx="40">
                  <c:v>0.266666666666667</c:v>
                </c:pt>
                <c:pt idx="41">
                  <c:v>0.273333333333333</c:v>
                </c:pt>
                <c:pt idx="42">
                  <c:v>0.28</c:v>
                </c:pt>
                <c:pt idx="43">
                  <c:v>0.286666666666667</c:v>
                </c:pt>
                <c:pt idx="44">
                  <c:v>0.293333333333333</c:v>
                </c:pt>
                <c:pt idx="45">
                  <c:v>0.3</c:v>
                </c:pt>
                <c:pt idx="46">
                  <c:v>0.306666666666667</c:v>
                </c:pt>
                <c:pt idx="47">
                  <c:v>0.313333333333333</c:v>
                </c:pt>
                <c:pt idx="48">
                  <c:v>0.32</c:v>
                </c:pt>
                <c:pt idx="49">
                  <c:v>0.326666666666667</c:v>
                </c:pt>
                <c:pt idx="50">
                  <c:v>0.333333333333333</c:v>
                </c:pt>
                <c:pt idx="51">
                  <c:v>0.34</c:v>
                </c:pt>
                <c:pt idx="52">
                  <c:v>0.346666666666667</c:v>
                </c:pt>
                <c:pt idx="53">
                  <c:v>0.353333333333333</c:v>
                </c:pt>
                <c:pt idx="54">
                  <c:v>0.36</c:v>
                </c:pt>
                <c:pt idx="55">
                  <c:v>0.366666666666667</c:v>
                </c:pt>
                <c:pt idx="56">
                  <c:v>0.373333333333333</c:v>
                </c:pt>
                <c:pt idx="57">
                  <c:v>0.38</c:v>
                </c:pt>
                <c:pt idx="58">
                  <c:v>0.386666666666667</c:v>
                </c:pt>
                <c:pt idx="59">
                  <c:v>0.393333333333333</c:v>
                </c:pt>
                <c:pt idx="60">
                  <c:v>0.4</c:v>
                </c:pt>
                <c:pt idx="61">
                  <c:v>0.406666666666667</c:v>
                </c:pt>
                <c:pt idx="62">
                  <c:v>0.413333333333333</c:v>
                </c:pt>
                <c:pt idx="63">
                  <c:v>0.42</c:v>
                </c:pt>
                <c:pt idx="64">
                  <c:v>0.426666666666667</c:v>
                </c:pt>
                <c:pt idx="65">
                  <c:v>0.433333333333333</c:v>
                </c:pt>
                <c:pt idx="66">
                  <c:v>0.44</c:v>
                </c:pt>
                <c:pt idx="67">
                  <c:v>0.446666666666667</c:v>
                </c:pt>
                <c:pt idx="68">
                  <c:v>0.453333333333333</c:v>
                </c:pt>
                <c:pt idx="69">
                  <c:v>0.46</c:v>
                </c:pt>
                <c:pt idx="70">
                  <c:v>0.466666666666667</c:v>
                </c:pt>
                <c:pt idx="71">
                  <c:v>0.473333333333333</c:v>
                </c:pt>
                <c:pt idx="72">
                  <c:v>0.48</c:v>
                </c:pt>
                <c:pt idx="73">
                  <c:v>0.486666666666667</c:v>
                </c:pt>
                <c:pt idx="74">
                  <c:v>0.493333333333333</c:v>
                </c:pt>
                <c:pt idx="75">
                  <c:v>0.5</c:v>
                </c:pt>
                <c:pt idx="76">
                  <c:v>0.506666666666667</c:v>
                </c:pt>
                <c:pt idx="77">
                  <c:v>0.513333333333333</c:v>
                </c:pt>
                <c:pt idx="78">
                  <c:v>0.52</c:v>
                </c:pt>
                <c:pt idx="79">
                  <c:v>0.526666666666667</c:v>
                </c:pt>
                <c:pt idx="80">
                  <c:v>0.533333333333333</c:v>
                </c:pt>
                <c:pt idx="81">
                  <c:v>0.54</c:v>
                </c:pt>
                <c:pt idx="82">
                  <c:v>0.546666666666667</c:v>
                </c:pt>
                <c:pt idx="83">
                  <c:v>0.553333333333333</c:v>
                </c:pt>
                <c:pt idx="84">
                  <c:v>0.56</c:v>
                </c:pt>
                <c:pt idx="85">
                  <c:v>0.566666666666667</c:v>
                </c:pt>
                <c:pt idx="86">
                  <c:v>0.573333333333333</c:v>
                </c:pt>
                <c:pt idx="87">
                  <c:v>0.58</c:v>
                </c:pt>
                <c:pt idx="88">
                  <c:v>0.586666666666667</c:v>
                </c:pt>
                <c:pt idx="89">
                  <c:v>0.593333333333333</c:v>
                </c:pt>
                <c:pt idx="90">
                  <c:v>0.6</c:v>
                </c:pt>
                <c:pt idx="91">
                  <c:v>0.606666666666667</c:v>
                </c:pt>
                <c:pt idx="92">
                  <c:v>0.613333333333333</c:v>
                </c:pt>
                <c:pt idx="93">
                  <c:v>0.62</c:v>
                </c:pt>
                <c:pt idx="94">
                  <c:v>0.626666666666667</c:v>
                </c:pt>
                <c:pt idx="95">
                  <c:v>0.633333333333333</c:v>
                </c:pt>
                <c:pt idx="96">
                  <c:v>0.64</c:v>
                </c:pt>
                <c:pt idx="97">
                  <c:v>0.646666666666667</c:v>
                </c:pt>
                <c:pt idx="98">
                  <c:v>0.653333333333333</c:v>
                </c:pt>
                <c:pt idx="99">
                  <c:v>0.66</c:v>
                </c:pt>
                <c:pt idx="100">
                  <c:v>0.666666666666667</c:v>
                </c:pt>
                <c:pt idx="101">
                  <c:v>0.673333333333333</c:v>
                </c:pt>
                <c:pt idx="102">
                  <c:v>0.68</c:v>
                </c:pt>
                <c:pt idx="103">
                  <c:v>0.686666666666667</c:v>
                </c:pt>
                <c:pt idx="104">
                  <c:v>0.693333333333333</c:v>
                </c:pt>
                <c:pt idx="105">
                  <c:v>0.7</c:v>
                </c:pt>
                <c:pt idx="106">
                  <c:v>0.706666666666667</c:v>
                </c:pt>
                <c:pt idx="107">
                  <c:v>0.713333333333333</c:v>
                </c:pt>
                <c:pt idx="108">
                  <c:v>0.72</c:v>
                </c:pt>
                <c:pt idx="109">
                  <c:v>0.726666666666667</c:v>
                </c:pt>
                <c:pt idx="110">
                  <c:v>0.733333333333333</c:v>
                </c:pt>
                <c:pt idx="111">
                  <c:v>0.74</c:v>
                </c:pt>
                <c:pt idx="112">
                  <c:v>0.746666666666667</c:v>
                </c:pt>
                <c:pt idx="113">
                  <c:v>0.753333333333333</c:v>
                </c:pt>
                <c:pt idx="114">
                  <c:v>0.76</c:v>
                </c:pt>
                <c:pt idx="115">
                  <c:v>0.766666666666667</c:v>
                </c:pt>
                <c:pt idx="116">
                  <c:v>0.773333333333333</c:v>
                </c:pt>
                <c:pt idx="117">
                  <c:v>0.78</c:v>
                </c:pt>
                <c:pt idx="118">
                  <c:v>0.786666666666667</c:v>
                </c:pt>
                <c:pt idx="119">
                  <c:v>0.793333333333333</c:v>
                </c:pt>
                <c:pt idx="120">
                  <c:v>0.8</c:v>
                </c:pt>
                <c:pt idx="121">
                  <c:v>0.806666666666667</c:v>
                </c:pt>
                <c:pt idx="122">
                  <c:v>0.813333333333333</c:v>
                </c:pt>
                <c:pt idx="123">
                  <c:v>0.82</c:v>
                </c:pt>
                <c:pt idx="124">
                  <c:v>0.826666666666667</c:v>
                </c:pt>
                <c:pt idx="125">
                  <c:v>0.833333333333333</c:v>
                </c:pt>
                <c:pt idx="126">
                  <c:v>0.84</c:v>
                </c:pt>
                <c:pt idx="127">
                  <c:v>0.846666666666667</c:v>
                </c:pt>
                <c:pt idx="128">
                  <c:v>0.853333333333333</c:v>
                </c:pt>
                <c:pt idx="129">
                  <c:v>0.86</c:v>
                </c:pt>
                <c:pt idx="130">
                  <c:v>0.866666666666667</c:v>
                </c:pt>
                <c:pt idx="131">
                  <c:v>0.873333333333333</c:v>
                </c:pt>
                <c:pt idx="132">
                  <c:v>0.88</c:v>
                </c:pt>
                <c:pt idx="133">
                  <c:v>0.886666666666667</c:v>
                </c:pt>
                <c:pt idx="134">
                  <c:v>0.893333333333333</c:v>
                </c:pt>
                <c:pt idx="135">
                  <c:v>0.9</c:v>
                </c:pt>
                <c:pt idx="136">
                  <c:v>0.906666666666667</c:v>
                </c:pt>
                <c:pt idx="137">
                  <c:v>0.913333333333333</c:v>
                </c:pt>
                <c:pt idx="138">
                  <c:v>0.92</c:v>
                </c:pt>
                <c:pt idx="139">
                  <c:v>0.926666666666667</c:v>
                </c:pt>
                <c:pt idx="140">
                  <c:v>0.933333333333333</c:v>
                </c:pt>
                <c:pt idx="141">
                  <c:v>0.94</c:v>
                </c:pt>
                <c:pt idx="142">
                  <c:v>0.946666666666667</c:v>
                </c:pt>
                <c:pt idx="143">
                  <c:v>0.953333333333333</c:v>
                </c:pt>
                <c:pt idx="144">
                  <c:v>0.96</c:v>
                </c:pt>
                <c:pt idx="145">
                  <c:v>0.966666666666667</c:v>
                </c:pt>
                <c:pt idx="146">
                  <c:v>0.973333333333333</c:v>
                </c:pt>
                <c:pt idx="147">
                  <c:v>0.98</c:v>
                </c:pt>
                <c:pt idx="148">
                  <c:v>0.986666666666667</c:v>
                </c:pt>
                <c:pt idx="149">
                  <c:v>0.993333333333333</c:v>
                </c:pt>
                <c:pt idx="150">
                  <c:v>1</c:v>
                </c:pt>
              </c:numCache>
            </c:numRef>
          </c:xVal>
          <c:yVal>
            <c:numRef>
              <c:f>Eff_vs_IOUT!$AN$7:$AN$157</c:f>
              <c:numCache>
                <c:formatCode>General</c:formatCode>
                <c:ptCount val="151"/>
                <c:pt idx="0">
                  <c:v>0</c:v>
                </c:pt>
                <c:pt idx="1">
                  <c:v>0.00216666666666667</c:v>
                </c:pt>
                <c:pt idx="2">
                  <c:v>0.00433333333333333</c:v>
                </c:pt>
                <c:pt idx="3">
                  <c:v>0.0065</c:v>
                </c:pt>
                <c:pt idx="4">
                  <c:v>0.00866666666666667</c:v>
                </c:pt>
                <c:pt idx="5">
                  <c:v>0.0108333333333333</c:v>
                </c:pt>
                <c:pt idx="6">
                  <c:v>0.013</c:v>
                </c:pt>
                <c:pt idx="7">
                  <c:v>0.0151666666666667</c:v>
                </c:pt>
                <c:pt idx="8">
                  <c:v>0.0173333333333333</c:v>
                </c:pt>
                <c:pt idx="9">
                  <c:v>0.0195</c:v>
                </c:pt>
                <c:pt idx="10">
                  <c:v>0.0216666666666667</c:v>
                </c:pt>
                <c:pt idx="11">
                  <c:v>0.0238333333333333</c:v>
                </c:pt>
                <c:pt idx="12">
                  <c:v>0.026</c:v>
                </c:pt>
                <c:pt idx="13">
                  <c:v>0.0281666666666667</c:v>
                </c:pt>
                <c:pt idx="14">
                  <c:v>0.0303333333333333</c:v>
                </c:pt>
                <c:pt idx="15">
                  <c:v>0.0325</c:v>
                </c:pt>
                <c:pt idx="16">
                  <c:v>0.0346666666666667</c:v>
                </c:pt>
                <c:pt idx="17">
                  <c:v>0.0368333333333333</c:v>
                </c:pt>
                <c:pt idx="18">
                  <c:v>0.039</c:v>
                </c:pt>
                <c:pt idx="19">
                  <c:v>0.0411666666666667</c:v>
                </c:pt>
                <c:pt idx="20">
                  <c:v>0.0433333333333333</c:v>
                </c:pt>
                <c:pt idx="21">
                  <c:v>0.0455</c:v>
                </c:pt>
                <c:pt idx="22">
                  <c:v>0.0476666666666667</c:v>
                </c:pt>
                <c:pt idx="23">
                  <c:v>0.0498333333333333</c:v>
                </c:pt>
                <c:pt idx="24">
                  <c:v>0.052</c:v>
                </c:pt>
                <c:pt idx="25">
                  <c:v>0.0541666666666667</c:v>
                </c:pt>
                <c:pt idx="26">
                  <c:v>0.0563333333333333</c:v>
                </c:pt>
                <c:pt idx="27">
                  <c:v>0.0585</c:v>
                </c:pt>
                <c:pt idx="28">
                  <c:v>0.0606666666666667</c:v>
                </c:pt>
                <c:pt idx="29">
                  <c:v>0.0628333333333333</c:v>
                </c:pt>
                <c:pt idx="30">
                  <c:v>0.065</c:v>
                </c:pt>
                <c:pt idx="31">
                  <c:v>0.0671666666666667</c:v>
                </c:pt>
                <c:pt idx="32">
                  <c:v>0.0693333333333333</c:v>
                </c:pt>
                <c:pt idx="33">
                  <c:v>0.0715</c:v>
                </c:pt>
                <c:pt idx="34">
                  <c:v>0.0736666666666667</c:v>
                </c:pt>
                <c:pt idx="35">
                  <c:v>0.0758333333333333</c:v>
                </c:pt>
                <c:pt idx="36">
                  <c:v>0.078</c:v>
                </c:pt>
                <c:pt idx="37">
                  <c:v>0.0801666666666667</c:v>
                </c:pt>
                <c:pt idx="38">
                  <c:v>0.0823333333333333</c:v>
                </c:pt>
                <c:pt idx="39">
                  <c:v>0.0845</c:v>
                </c:pt>
                <c:pt idx="40">
                  <c:v>0.0866666666666667</c:v>
                </c:pt>
                <c:pt idx="41">
                  <c:v>0.0888333333333333</c:v>
                </c:pt>
                <c:pt idx="42">
                  <c:v>0.091</c:v>
                </c:pt>
                <c:pt idx="43">
                  <c:v>0.0931666666666667</c:v>
                </c:pt>
                <c:pt idx="44">
                  <c:v>0.0953333333333333</c:v>
                </c:pt>
                <c:pt idx="45">
                  <c:v>0.0975</c:v>
                </c:pt>
                <c:pt idx="46">
                  <c:v>0.0996666666666667</c:v>
                </c:pt>
                <c:pt idx="47">
                  <c:v>0.101833333333333</c:v>
                </c:pt>
                <c:pt idx="48">
                  <c:v>0.104</c:v>
                </c:pt>
                <c:pt idx="49">
                  <c:v>0.106166666666667</c:v>
                </c:pt>
                <c:pt idx="50">
                  <c:v>0.108333333333333</c:v>
                </c:pt>
                <c:pt idx="51">
                  <c:v>0.1105</c:v>
                </c:pt>
                <c:pt idx="52">
                  <c:v>0.112666666666667</c:v>
                </c:pt>
                <c:pt idx="53">
                  <c:v>0.114833333333333</c:v>
                </c:pt>
                <c:pt idx="54">
                  <c:v>0.117</c:v>
                </c:pt>
                <c:pt idx="55">
                  <c:v>0.119166666666667</c:v>
                </c:pt>
                <c:pt idx="56">
                  <c:v>0.121333333333333</c:v>
                </c:pt>
                <c:pt idx="57">
                  <c:v>0.1235</c:v>
                </c:pt>
                <c:pt idx="58">
                  <c:v>0.125666666666667</c:v>
                </c:pt>
                <c:pt idx="59">
                  <c:v>0.127833333333333</c:v>
                </c:pt>
                <c:pt idx="60">
                  <c:v>0.13</c:v>
                </c:pt>
                <c:pt idx="61">
                  <c:v>0.132166666666667</c:v>
                </c:pt>
                <c:pt idx="62">
                  <c:v>0.134333333333333</c:v>
                </c:pt>
                <c:pt idx="63">
                  <c:v>0.1365</c:v>
                </c:pt>
                <c:pt idx="64">
                  <c:v>0.138666666666667</c:v>
                </c:pt>
                <c:pt idx="65">
                  <c:v>0.140833333333333</c:v>
                </c:pt>
                <c:pt idx="66">
                  <c:v>0.143</c:v>
                </c:pt>
                <c:pt idx="67">
                  <c:v>0.145166666666667</c:v>
                </c:pt>
                <c:pt idx="68">
                  <c:v>0.147333333333333</c:v>
                </c:pt>
                <c:pt idx="69">
                  <c:v>0.1495</c:v>
                </c:pt>
                <c:pt idx="70">
                  <c:v>0.151666666666667</c:v>
                </c:pt>
                <c:pt idx="71">
                  <c:v>0.153833333333333</c:v>
                </c:pt>
                <c:pt idx="72">
                  <c:v>0.156</c:v>
                </c:pt>
                <c:pt idx="73">
                  <c:v>0.158166666666667</c:v>
                </c:pt>
                <c:pt idx="74">
                  <c:v>0.160333333333333</c:v>
                </c:pt>
                <c:pt idx="75">
                  <c:v>0.1625</c:v>
                </c:pt>
                <c:pt idx="76">
                  <c:v>0.164666666666667</c:v>
                </c:pt>
                <c:pt idx="77">
                  <c:v>0.166833333333333</c:v>
                </c:pt>
                <c:pt idx="78">
                  <c:v>0.169</c:v>
                </c:pt>
                <c:pt idx="79">
                  <c:v>0.171166666666667</c:v>
                </c:pt>
                <c:pt idx="80">
                  <c:v>0.173333333333333</c:v>
                </c:pt>
                <c:pt idx="81">
                  <c:v>0.1755</c:v>
                </c:pt>
                <c:pt idx="82">
                  <c:v>0.177666666666667</c:v>
                </c:pt>
                <c:pt idx="83">
                  <c:v>0.179833333333333</c:v>
                </c:pt>
                <c:pt idx="84">
                  <c:v>0.182</c:v>
                </c:pt>
                <c:pt idx="85">
                  <c:v>0.184166666666667</c:v>
                </c:pt>
                <c:pt idx="86">
                  <c:v>0.186333333333333</c:v>
                </c:pt>
                <c:pt idx="87">
                  <c:v>0.1885</c:v>
                </c:pt>
                <c:pt idx="88">
                  <c:v>0.190666666666667</c:v>
                </c:pt>
                <c:pt idx="89">
                  <c:v>0.192833333333333</c:v>
                </c:pt>
                <c:pt idx="90">
                  <c:v>0.195</c:v>
                </c:pt>
                <c:pt idx="91">
                  <c:v>0.197166666666667</c:v>
                </c:pt>
                <c:pt idx="92">
                  <c:v>0.199333333333333</c:v>
                </c:pt>
                <c:pt idx="93">
                  <c:v>0.2015</c:v>
                </c:pt>
                <c:pt idx="94">
                  <c:v>0.203666666666667</c:v>
                </c:pt>
                <c:pt idx="95">
                  <c:v>0.205833333333333</c:v>
                </c:pt>
                <c:pt idx="96">
                  <c:v>0.208</c:v>
                </c:pt>
                <c:pt idx="97">
                  <c:v>0.210166666666667</c:v>
                </c:pt>
                <c:pt idx="98">
                  <c:v>0.212333333333333</c:v>
                </c:pt>
                <c:pt idx="99">
                  <c:v>0.2145</c:v>
                </c:pt>
                <c:pt idx="100">
                  <c:v>0.216666666666667</c:v>
                </c:pt>
                <c:pt idx="101">
                  <c:v>0.218833333333333</c:v>
                </c:pt>
                <c:pt idx="102">
                  <c:v>0.221</c:v>
                </c:pt>
                <c:pt idx="103">
                  <c:v>0.223166666666667</c:v>
                </c:pt>
                <c:pt idx="104">
                  <c:v>0.225333333333333</c:v>
                </c:pt>
                <c:pt idx="105">
                  <c:v>0.2275</c:v>
                </c:pt>
                <c:pt idx="106">
                  <c:v>0.229666666666667</c:v>
                </c:pt>
                <c:pt idx="107">
                  <c:v>0.231833333333333</c:v>
                </c:pt>
                <c:pt idx="108">
                  <c:v>0.234</c:v>
                </c:pt>
                <c:pt idx="109">
                  <c:v>0.236166666666667</c:v>
                </c:pt>
                <c:pt idx="110">
                  <c:v>0.238333333333333</c:v>
                </c:pt>
                <c:pt idx="111">
                  <c:v>0.2405</c:v>
                </c:pt>
                <c:pt idx="112">
                  <c:v>0.242666666666667</c:v>
                </c:pt>
                <c:pt idx="113">
                  <c:v>0.244833333333333</c:v>
                </c:pt>
                <c:pt idx="114">
                  <c:v>0.247</c:v>
                </c:pt>
                <c:pt idx="115">
                  <c:v>0.249166666666667</c:v>
                </c:pt>
                <c:pt idx="116">
                  <c:v>0.251333333333333</c:v>
                </c:pt>
                <c:pt idx="117">
                  <c:v>0.2535</c:v>
                </c:pt>
                <c:pt idx="118">
                  <c:v>0.255666666666667</c:v>
                </c:pt>
                <c:pt idx="119">
                  <c:v>0.257833333333333</c:v>
                </c:pt>
                <c:pt idx="120">
                  <c:v>0.26</c:v>
                </c:pt>
                <c:pt idx="121">
                  <c:v>0.262166666666667</c:v>
                </c:pt>
                <c:pt idx="122">
                  <c:v>0.264333333333333</c:v>
                </c:pt>
                <c:pt idx="123">
                  <c:v>0.2665</c:v>
                </c:pt>
                <c:pt idx="124">
                  <c:v>0.268666666666667</c:v>
                </c:pt>
                <c:pt idx="125">
                  <c:v>0.270833333333333</c:v>
                </c:pt>
                <c:pt idx="126">
                  <c:v>0.273</c:v>
                </c:pt>
                <c:pt idx="127">
                  <c:v>0.275166666666667</c:v>
                </c:pt>
                <c:pt idx="128">
                  <c:v>0.277333333333333</c:v>
                </c:pt>
                <c:pt idx="129">
                  <c:v>0.2795</c:v>
                </c:pt>
                <c:pt idx="130">
                  <c:v>0.281666666666667</c:v>
                </c:pt>
                <c:pt idx="131">
                  <c:v>0.283833333333333</c:v>
                </c:pt>
                <c:pt idx="132">
                  <c:v>0.286</c:v>
                </c:pt>
                <c:pt idx="133">
                  <c:v>0.288166666666667</c:v>
                </c:pt>
                <c:pt idx="134">
                  <c:v>0.290333333333333</c:v>
                </c:pt>
                <c:pt idx="135">
                  <c:v>0.2925</c:v>
                </c:pt>
                <c:pt idx="136">
                  <c:v>0.294666666666667</c:v>
                </c:pt>
                <c:pt idx="137">
                  <c:v>0.296833333333333</c:v>
                </c:pt>
                <c:pt idx="138">
                  <c:v>0.299</c:v>
                </c:pt>
                <c:pt idx="139">
                  <c:v>0.301166666666667</c:v>
                </c:pt>
                <c:pt idx="140">
                  <c:v>0.303333333333333</c:v>
                </c:pt>
                <c:pt idx="141">
                  <c:v>0.3055</c:v>
                </c:pt>
                <c:pt idx="142">
                  <c:v>0.307666666666667</c:v>
                </c:pt>
                <c:pt idx="143">
                  <c:v>0.309833333333333</c:v>
                </c:pt>
                <c:pt idx="144">
                  <c:v>0.312</c:v>
                </c:pt>
                <c:pt idx="145">
                  <c:v>0.314166666666667</c:v>
                </c:pt>
                <c:pt idx="146">
                  <c:v>0.316333333333333</c:v>
                </c:pt>
                <c:pt idx="147">
                  <c:v>0.3185</c:v>
                </c:pt>
                <c:pt idx="148">
                  <c:v>0.320666666666667</c:v>
                </c:pt>
                <c:pt idx="149">
                  <c:v>0.322833333333333</c:v>
                </c:pt>
                <c:pt idx="150">
                  <c:v>0.325</c:v>
                </c:pt>
              </c:numCache>
            </c:numRef>
          </c:yVal>
          <c:smooth val="1"/>
        </c:ser>
        <c:ser>
          <c:idx val="3"/>
          <c:order val="3"/>
          <c:tx>
            <c:strRef>
              <c:f>"RCS"</c:f>
              <c:strCache>
                <c:ptCount val="1"/>
                <c:pt idx="0">
                  <c:v>RCS</c:v>
                </c:pt>
              </c:strCache>
            </c:strRef>
          </c:tx>
          <c:spPr>
            <a:ln w="28575" cap="rnd" cmpd="sng" algn="ctr">
              <a:solidFill>
                <a:schemeClr val="accent5">
                  <a:lumMod val="75000"/>
                </a:schemeClr>
              </a:solidFill>
              <a:prstDash val="lgDashDotDot"/>
              <a:round/>
            </a:ln>
          </c:spPr>
          <c:marker>
            <c:symbol val="none"/>
          </c:marker>
          <c:dLbls>
            <c:delete val="1"/>
          </c:dLbls>
          <c:xVal>
            <c:numRef>
              <c:f>Eff_vs_IOUT!$S$7:$S$157</c:f>
              <c:numCache>
                <c:formatCode>General</c:formatCode>
                <c:ptCount val="151"/>
                <c:pt idx="0">
                  <c:v>0</c:v>
                </c:pt>
                <c:pt idx="1">
                  <c:v>0.00666666666666667</c:v>
                </c:pt>
                <c:pt idx="2">
                  <c:v>0.0133333333333333</c:v>
                </c:pt>
                <c:pt idx="3">
                  <c:v>0.02</c:v>
                </c:pt>
                <c:pt idx="4">
                  <c:v>0.0266666666666667</c:v>
                </c:pt>
                <c:pt idx="5">
                  <c:v>0.0333333333333333</c:v>
                </c:pt>
                <c:pt idx="6">
                  <c:v>0.04</c:v>
                </c:pt>
                <c:pt idx="7">
                  <c:v>0.0466666666666667</c:v>
                </c:pt>
                <c:pt idx="8">
                  <c:v>0.0533333333333333</c:v>
                </c:pt>
                <c:pt idx="9">
                  <c:v>0.06</c:v>
                </c:pt>
                <c:pt idx="10">
                  <c:v>0.0666666666666667</c:v>
                </c:pt>
                <c:pt idx="11">
                  <c:v>0.0733333333333333</c:v>
                </c:pt>
                <c:pt idx="12">
                  <c:v>0.08</c:v>
                </c:pt>
                <c:pt idx="13">
                  <c:v>0.0866666666666667</c:v>
                </c:pt>
                <c:pt idx="14">
                  <c:v>0.0933333333333333</c:v>
                </c:pt>
                <c:pt idx="15">
                  <c:v>0.1</c:v>
                </c:pt>
                <c:pt idx="16">
                  <c:v>0.106666666666667</c:v>
                </c:pt>
                <c:pt idx="17">
                  <c:v>0.113333333333333</c:v>
                </c:pt>
                <c:pt idx="18">
                  <c:v>0.12</c:v>
                </c:pt>
                <c:pt idx="19">
                  <c:v>0.126666666666667</c:v>
                </c:pt>
                <c:pt idx="20">
                  <c:v>0.133333333333333</c:v>
                </c:pt>
                <c:pt idx="21">
                  <c:v>0.14</c:v>
                </c:pt>
                <c:pt idx="22">
                  <c:v>0.146666666666667</c:v>
                </c:pt>
                <c:pt idx="23">
                  <c:v>0.153333333333333</c:v>
                </c:pt>
                <c:pt idx="24">
                  <c:v>0.16</c:v>
                </c:pt>
                <c:pt idx="25">
                  <c:v>0.166666666666667</c:v>
                </c:pt>
                <c:pt idx="26">
                  <c:v>0.173333333333333</c:v>
                </c:pt>
                <c:pt idx="27">
                  <c:v>0.18</c:v>
                </c:pt>
                <c:pt idx="28">
                  <c:v>0.186666666666667</c:v>
                </c:pt>
                <c:pt idx="29">
                  <c:v>0.193333333333333</c:v>
                </c:pt>
                <c:pt idx="30">
                  <c:v>0.2</c:v>
                </c:pt>
                <c:pt idx="31">
                  <c:v>0.206666666666667</c:v>
                </c:pt>
                <c:pt idx="32">
                  <c:v>0.213333333333333</c:v>
                </c:pt>
                <c:pt idx="33">
                  <c:v>0.22</c:v>
                </c:pt>
                <c:pt idx="34">
                  <c:v>0.226666666666667</c:v>
                </c:pt>
                <c:pt idx="35">
                  <c:v>0.233333333333333</c:v>
                </c:pt>
                <c:pt idx="36">
                  <c:v>0.24</c:v>
                </c:pt>
                <c:pt idx="37">
                  <c:v>0.246666666666667</c:v>
                </c:pt>
                <c:pt idx="38">
                  <c:v>0.253333333333333</c:v>
                </c:pt>
                <c:pt idx="39">
                  <c:v>0.26</c:v>
                </c:pt>
                <c:pt idx="40">
                  <c:v>0.266666666666667</c:v>
                </c:pt>
                <c:pt idx="41">
                  <c:v>0.273333333333333</c:v>
                </c:pt>
                <c:pt idx="42">
                  <c:v>0.28</c:v>
                </c:pt>
                <c:pt idx="43">
                  <c:v>0.286666666666667</c:v>
                </c:pt>
                <c:pt idx="44">
                  <c:v>0.293333333333333</c:v>
                </c:pt>
                <c:pt idx="45">
                  <c:v>0.3</c:v>
                </c:pt>
                <c:pt idx="46">
                  <c:v>0.306666666666667</c:v>
                </c:pt>
                <c:pt idx="47">
                  <c:v>0.313333333333333</c:v>
                </c:pt>
                <c:pt idx="48">
                  <c:v>0.32</c:v>
                </c:pt>
                <c:pt idx="49">
                  <c:v>0.326666666666667</c:v>
                </c:pt>
                <c:pt idx="50">
                  <c:v>0.333333333333333</c:v>
                </c:pt>
                <c:pt idx="51">
                  <c:v>0.34</c:v>
                </c:pt>
                <c:pt idx="52">
                  <c:v>0.346666666666667</c:v>
                </c:pt>
                <c:pt idx="53">
                  <c:v>0.353333333333333</c:v>
                </c:pt>
                <c:pt idx="54">
                  <c:v>0.36</c:v>
                </c:pt>
                <c:pt idx="55">
                  <c:v>0.366666666666667</c:v>
                </c:pt>
                <c:pt idx="56">
                  <c:v>0.373333333333333</c:v>
                </c:pt>
                <c:pt idx="57">
                  <c:v>0.38</c:v>
                </c:pt>
                <c:pt idx="58">
                  <c:v>0.386666666666667</c:v>
                </c:pt>
                <c:pt idx="59">
                  <c:v>0.393333333333333</c:v>
                </c:pt>
                <c:pt idx="60">
                  <c:v>0.4</c:v>
                </c:pt>
                <c:pt idx="61">
                  <c:v>0.406666666666667</c:v>
                </c:pt>
                <c:pt idx="62">
                  <c:v>0.413333333333333</c:v>
                </c:pt>
                <c:pt idx="63">
                  <c:v>0.42</c:v>
                </c:pt>
                <c:pt idx="64">
                  <c:v>0.426666666666667</c:v>
                </c:pt>
                <c:pt idx="65">
                  <c:v>0.433333333333333</c:v>
                </c:pt>
                <c:pt idx="66">
                  <c:v>0.44</c:v>
                </c:pt>
                <c:pt idx="67">
                  <c:v>0.446666666666667</c:v>
                </c:pt>
                <c:pt idx="68">
                  <c:v>0.453333333333333</c:v>
                </c:pt>
                <c:pt idx="69">
                  <c:v>0.46</c:v>
                </c:pt>
                <c:pt idx="70">
                  <c:v>0.466666666666667</c:v>
                </c:pt>
                <c:pt idx="71">
                  <c:v>0.473333333333333</c:v>
                </c:pt>
                <c:pt idx="72">
                  <c:v>0.48</c:v>
                </c:pt>
                <c:pt idx="73">
                  <c:v>0.486666666666667</c:v>
                </c:pt>
                <c:pt idx="74">
                  <c:v>0.493333333333333</c:v>
                </c:pt>
                <c:pt idx="75">
                  <c:v>0.5</c:v>
                </c:pt>
                <c:pt idx="76">
                  <c:v>0.506666666666667</c:v>
                </c:pt>
                <c:pt idx="77">
                  <c:v>0.513333333333333</c:v>
                </c:pt>
                <c:pt idx="78">
                  <c:v>0.52</c:v>
                </c:pt>
                <c:pt idx="79">
                  <c:v>0.526666666666667</c:v>
                </c:pt>
                <c:pt idx="80">
                  <c:v>0.533333333333333</c:v>
                </c:pt>
                <c:pt idx="81">
                  <c:v>0.54</c:v>
                </c:pt>
                <c:pt idx="82">
                  <c:v>0.546666666666667</c:v>
                </c:pt>
                <c:pt idx="83">
                  <c:v>0.553333333333333</c:v>
                </c:pt>
                <c:pt idx="84">
                  <c:v>0.56</c:v>
                </c:pt>
                <c:pt idx="85">
                  <c:v>0.566666666666667</c:v>
                </c:pt>
                <c:pt idx="86">
                  <c:v>0.573333333333333</c:v>
                </c:pt>
                <c:pt idx="87">
                  <c:v>0.58</c:v>
                </c:pt>
                <c:pt idx="88">
                  <c:v>0.586666666666667</c:v>
                </c:pt>
                <c:pt idx="89">
                  <c:v>0.593333333333333</c:v>
                </c:pt>
                <c:pt idx="90">
                  <c:v>0.6</c:v>
                </c:pt>
                <c:pt idx="91">
                  <c:v>0.606666666666667</c:v>
                </c:pt>
                <c:pt idx="92">
                  <c:v>0.613333333333333</c:v>
                </c:pt>
                <c:pt idx="93">
                  <c:v>0.62</c:v>
                </c:pt>
                <c:pt idx="94">
                  <c:v>0.626666666666667</c:v>
                </c:pt>
                <c:pt idx="95">
                  <c:v>0.633333333333333</c:v>
                </c:pt>
                <c:pt idx="96">
                  <c:v>0.64</c:v>
                </c:pt>
                <c:pt idx="97">
                  <c:v>0.646666666666667</c:v>
                </c:pt>
                <c:pt idx="98">
                  <c:v>0.653333333333333</c:v>
                </c:pt>
                <c:pt idx="99">
                  <c:v>0.66</c:v>
                </c:pt>
                <c:pt idx="100">
                  <c:v>0.666666666666667</c:v>
                </c:pt>
                <c:pt idx="101">
                  <c:v>0.673333333333333</c:v>
                </c:pt>
                <c:pt idx="102">
                  <c:v>0.68</c:v>
                </c:pt>
                <c:pt idx="103">
                  <c:v>0.686666666666667</c:v>
                </c:pt>
                <c:pt idx="104">
                  <c:v>0.693333333333333</c:v>
                </c:pt>
                <c:pt idx="105">
                  <c:v>0.7</c:v>
                </c:pt>
                <c:pt idx="106">
                  <c:v>0.706666666666667</c:v>
                </c:pt>
                <c:pt idx="107">
                  <c:v>0.713333333333333</c:v>
                </c:pt>
                <c:pt idx="108">
                  <c:v>0.72</c:v>
                </c:pt>
                <c:pt idx="109">
                  <c:v>0.726666666666667</c:v>
                </c:pt>
                <c:pt idx="110">
                  <c:v>0.733333333333333</c:v>
                </c:pt>
                <c:pt idx="111">
                  <c:v>0.74</c:v>
                </c:pt>
                <c:pt idx="112">
                  <c:v>0.746666666666667</c:v>
                </c:pt>
                <c:pt idx="113">
                  <c:v>0.753333333333333</c:v>
                </c:pt>
                <c:pt idx="114">
                  <c:v>0.76</c:v>
                </c:pt>
                <c:pt idx="115">
                  <c:v>0.766666666666667</c:v>
                </c:pt>
                <c:pt idx="116">
                  <c:v>0.773333333333333</c:v>
                </c:pt>
                <c:pt idx="117">
                  <c:v>0.78</c:v>
                </c:pt>
                <c:pt idx="118">
                  <c:v>0.786666666666667</c:v>
                </c:pt>
                <c:pt idx="119">
                  <c:v>0.793333333333333</c:v>
                </c:pt>
                <c:pt idx="120">
                  <c:v>0.8</c:v>
                </c:pt>
                <c:pt idx="121">
                  <c:v>0.806666666666667</c:v>
                </c:pt>
                <c:pt idx="122">
                  <c:v>0.813333333333333</c:v>
                </c:pt>
                <c:pt idx="123">
                  <c:v>0.82</c:v>
                </c:pt>
                <c:pt idx="124">
                  <c:v>0.826666666666667</c:v>
                </c:pt>
                <c:pt idx="125">
                  <c:v>0.833333333333333</c:v>
                </c:pt>
                <c:pt idx="126">
                  <c:v>0.84</c:v>
                </c:pt>
                <c:pt idx="127">
                  <c:v>0.846666666666667</c:v>
                </c:pt>
                <c:pt idx="128">
                  <c:v>0.853333333333333</c:v>
                </c:pt>
                <c:pt idx="129">
                  <c:v>0.86</c:v>
                </c:pt>
                <c:pt idx="130">
                  <c:v>0.866666666666667</c:v>
                </c:pt>
                <c:pt idx="131">
                  <c:v>0.873333333333333</c:v>
                </c:pt>
                <c:pt idx="132">
                  <c:v>0.88</c:v>
                </c:pt>
                <c:pt idx="133">
                  <c:v>0.886666666666667</c:v>
                </c:pt>
                <c:pt idx="134">
                  <c:v>0.893333333333333</c:v>
                </c:pt>
                <c:pt idx="135">
                  <c:v>0.9</c:v>
                </c:pt>
                <c:pt idx="136">
                  <c:v>0.906666666666667</c:v>
                </c:pt>
                <c:pt idx="137">
                  <c:v>0.913333333333333</c:v>
                </c:pt>
                <c:pt idx="138">
                  <c:v>0.92</c:v>
                </c:pt>
                <c:pt idx="139">
                  <c:v>0.926666666666667</c:v>
                </c:pt>
                <c:pt idx="140">
                  <c:v>0.933333333333333</c:v>
                </c:pt>
                <c:pt idx="141">
                  <c:v>0.94</c:v>
                </c:pt>
                <c:pt idx="142">
                  <c:v>0.946666666666667</c:v>
                </c:pt>
                <c:pt idx="143">
                  <c:v>0.953333333333333</c:v>
                </c:pt>
                <c:pt idx="144">
                  <c:v>0.96</c:v>
                </c:pt>
                <c:pt idx="145">
                  <c:v>0.966666666666667</c:v>
                </c:pt>
                <c:pt idx="146">
                  <c:v>0.973333333333333</c:v>
                </c:pt>
                <c:pt idx="147">
                  <c:v>0.98</c:v>
                </c:pt>
                <c:pt idx="148">
                  <c:v>0.986666666666667</c:v>
                </c:pt>
                <c:pt idx="149">
                  <c:v>0.993333333333333</c:v>
                </c:pt>
                <c:pt idx="150">
                  <c:v>1</c:v>
                </c:pt>
              </c:numCache>
            </c:numRef>
          </c:xVal>
          <c:yVal>
            <c:numRef>
              <c:f>Eff_vs_IOUT!$AO$7:$AO$157</c:f>
              <c:numCache>
                <c:formatCode>General</c:formatCode>
                <c:ptCount val="151"/>
                <c:pt idx="0">
                  <c:v>0</c:v>
                </c:pt>
                <c:pt idx="1">
                  <c:v>1.24679123191324e-5</c:v>
                </c:pt>
                <c:pt idx="2">
                  <c:v>4.10155616010747e-5</c:v>
                </c:pt>
                <c:pt idx="3">
                  <c:v>8.41623830529676e-5</c:v>
                </c:pt>
                <c:pt idx="4">
                  <c:v>0.000141772284700086</c:v>
                </c:pt>
                <c:pt idx="5">
                  <c:v>0.000213975167215039</c:v>
                </c:pt>
                <c:pt idx="6">
                  <c:v>0.000301001874476159</c:v>
                </c:pt>
                <c:pt idx="7">
                  <c:v>0.00040312963322975</c:v>
                </c:pt>
                <c:pt idx="8">
                  <c:v>8.99458899049501e-5</c:v>
                </c:pt>
                <c:pt idx="9">
                  <c:v>0.000101438729411123</c:v>
                </c:pt>
                <c:pt idx="10">
                  <c:v>0.000114283667682728</c:v>
                </c:pt>
                <c:pt idx="11">
                  <c:v>0.000128480704719765</c:v>
                </c:pt>
                <c:pt idx="12">
                  <c:v>0.000144029840522234</c:v>
                </c:pt>
                <c:pt idx="13">
                  <c:v>0.000160931075090135</c:v>
                </c:pt>
                <c:pt idx="14">
                  <c:v>0.000179184408423469</c:v>
                </c:pt>
                <c:pt idx="15">
                  <c:v>0.000198789840522234</c:v>
                </c:pt>
                <c:pt idx="16">
                  <c:v>0.000219747371386432</c:v>
                </c:pt>
                <c:pt idx="17">
                  <c:v>0.000242057001016061</c:v>
                </c:pt>
                <c:pt idx="18">
                  <c:v>0.000265718729411123</c:v>
                </c:pt>
                <c:pt idx="19">
                  <c:v>0.000290732556571617</c:v>
                </c:pt>
                <c:pt idx="20">
                  <c:v>0.000317098482497543</c:v>
                </c:pt>
                <c:pt idx="21">
                  <c:v>0.000344816507188901</c:v>
                </c:pt>
                <c:pt idx="22">
                  <c:v>0.000373886630645691</c:v>
                </c:pt>
                <c:pt idx="23">
                  <c:v>0.000404308852867913</c:v>
                </c:pt>
                <c:pt idx="24">
                  <c:v>0.000436083173855567</c:v>
                </c:pt>
                <c:pt idx="25">
                  <c:v>0.000469209593608654</c:v>
                </c:pt>
                <c:pt idx="26">
                  <c:v>0.000503688112127172</c:v>
                </c:pt>
                <c:pt idx="27">
                  <c:v>0.000539518729411123</c:v>
                </c:pt>
                <c:pt idx="28">
                  <c:v>0.000576701445460506</c:v>
                </c:pt>
                <c:pt idx="29">
                  <c:v>0.000615236260275321</c:v>
                </c:pt>
                <c:pt idx="30">
                  <c:v>0.000655123173855567</c:v>
                </c:pt>
                <c:pt idx="31">
                  <c:v>0.000696362186201247</c:v>
                </c:pt>
                <c:pt idx="32">
                  <c:v>0.000738953297312358</c:v>
                </c:pt>
                <c:pt idx="33">
                  <c:v>0.000782896507188901</c:v>
                </c:pt>
                <c:pt idx="34">
                  <c:v>0.000828191815830876</c:v>
                </c:pt>
                <c:pt idx="35">
                  <c:v>0.000874839223238283</c:v>
                </c:pt>
                <c:pt idx="36">
                  <c:v>0.000922838729411123</c:v>
                </c:pt>
                <c:pt idx="37">
                  <c:v>0.000972190334349395</c:v>
                </c:pt>
                <c:pt idx="38">
                  <c:v>0.0010228940380531</c:v>
                </c:pt>
                <c:pt idx="39">
                  <c:v>0.00107494984052223</c:v>
                </c:pt>
                <c:pt idx="40">
                  <c:v>0.0011283577417568</c:v>
                </c:pt>
                <c:pt idx="41">
                  <c:v>0.0011831177417568</c:v>
                </c:pt>
                <c:pt idx="42">
                  <c:v>0.00123922984052223</c:v>
                </c:pt>
                <c:pt idx="43">
                  <c:v>0.0012966940380531</c:v>
                </c:pt>
                <c:pt idx="44">
                  <c:v>0.00135551033434939</c:v>
                </c:pt>
                <c:pt idx="45">
                  <c:v>0.00141567872941112</c:v>
                </c:pt>
                <c:pt idx="46">
                  <c:v>0.00147719922323828</c:v>
                </c:pt>
                <c:pt idx="47">
                  <c:v>0.00154007181583088</c:v>
                </c:pt>
                <c:pt idx="48">
                  <c:v>0.0016042965071889</c:v>
                </c:pt>
                <c:pt idx="49">
                  <c:v>0.00166987329731236</c:v>
                </c:pt>
                <c:pt idx="50">
                  <c:v>0.00173680218620125</c:v>
                </c:pt>
                <c:pt idx="51">
                  <c:v>0.00180508317385557</c:v>
                </c:pt>
                <c:pt idx="52">
                  <c:v>0.00187471626027532</c:v>
                </c:pt>
                <c:pt idx="53">
                  <c:v>0.00194570144546051</c:v>
                </c:pt>
                <c:pt idx="54">
                  <c:v>0.00201803872941112</c:v>
                </c:pt>
                <c:pt idx="55">
                  <c:v>0.00209172811212717</c:v>
                </c:pt>
                <c:pt idx="56">
                  <c:v>0.00216676959360865</c:v>
                </c:pt>
                <c:pt idx="57">
                  <c:v>0.00224316317385557</c:v>
                </c:pt>
                <c:pt idx="58">
                  <c:v>0.00232090885286791</c:v>
                </c:pt>
                <c:pt idx="59">
                  <c:v>0.00240000663064569</c:v>
                </c:pt>
                <c:pt idx="60">
                  <c:v>0.0024804565071889</c:v>
                </c:pt>
                <c:pt idx="61">
                  <c:v>0.00256225848249754</c:v>
                </c:pt>
                <c:pt idx="62">
                  <c:v>0.00264541255657162</c:v>
                </c:pt>
                <c:pt idx="63">
                  <c:v>0.00272991872941112</c:v>
                </c:pt>
                <c:pt idx="64">
                  <c:v>0.00281577700101606</c:v>
                </c:pt>
                <c:pt idx="65">
                  <c:v>0.00290298737138643</c:v>
                </c:pt>
                <c:pt idx="66">
                  <c:v>0.00299154984052224</c:v>
                </c:pt>
                <c:pt idx="67">
                  <c:v>0.00308146440842347</c:v>
                </c:pt>
                <c:pt idx="68">
                  <c:v>0.00317273107509014</c:v>
                </c:pt>
                <c:pt idx="69">
                  <c:v>0.00326534984052223</c:v>
                </c:pt>
                <c:pt idx="70">
                  <c:v>0.00335932070471977</c:v>
                </c:pt>
                <c:pt idx="71">
                  <c:v>0.00345464366768273</c:v>
                </c:pt>
                <c:pt idx="72">
                  <c:v>0.00355131872941112</c:v>
                </c:pt>
                <c:pt idx="73">
                  <c:v>0.00364934588990495</c:v>
                </c:pt>
                <c:pt idx="74">
                  <c:v>0.00374872514916421</c:v>
                </c:pt>
                <c:pt idx="75">
                  <c:v>0.0038494565071889</c:v>
                </c:pt>
                <c:pt idx="76">
                  <c:v>0.00395153996397902</c:v>
                </c:pt>
                <c:pt idx="77">
                  <c:v>0.00405497551953458</c:v>
                </c:pt>
                <c:pt idx="78">
                  <c:v>0.00415976317385557</c:v>
                </c:pt>
                <c:pt idx="79">
                  <c:v>0.00426590292694199</c:v>
                </c:pt>
                <c:pt idx="80">
                  <c:v>0.00437339477879384</c:v>
                </c:pt>
                <c:pt idx="81">
                  <c:v>0.00448223872941112</c:v>
                </c:pt>
                <c:pt idx="82">
                  <c:v>0.00459243477879384</c:v>
                </c:pt>
                <c:pt idx="83">
                  <c:v>0.00470398292694199</c:v>
                </c:pt>
                <c:pt idx="84">
                  <c:v>0.00481688317385557</c:v>
                </c:pt>
                <c:pt idx="85">
                  <c:v>0.00493113551953458</c:v>
                </c:pt>
                <c:pt idx="86">
                  <c:v>0.00504673996397903</c:v>
                </c:pt>
                <c:pt idx="87">
                  <c:v>0.0051636965071889</c:v>
                </c:pt>
                <c:pt idx="88">
                  <c:v>0.00528200514916421</c:v>
                </c:pt>
                <c:pt idx="89">
                  <c:v>0.00540166588990495</c:v>
                </c:pt>
                <c:pt idx="90">
                  <c:v>0.00552267872941113</c:v>
                </c:pt>
                <c:pt idx="91">
                  <c:v>0.00564504366768273</c:v>
                </c:pt>
                <c:pt idx="92">
                  <c:v>0.00576876070471977</c:v>
                </c:pt>
                <c:pt idx="93">
                  <c:v>0.00589382984052223</c:v>
                </c:pt>
                <c:pt idx="94">
                  <c:v>0.00602025107509014</c:v>
                </c:pt>
                <c:pt idx="95">
                  <c:v>0.00614802440842347</c:v>
                </c:pt>
                <c:pt idx="96">
                  <c:v>0.00627714984052224</c:v>
                </c:pt>
                <c:pt idx="97">
                  <c:v>0.00640762737138643</c:v>
                </c:pt>
                <c:pt idx="98">
                  <c:v>0.00653945700101606</c:v>
                </c:pt>
                <c:pt idx="99">
                  <c:v>0.00667263872941112</c:v>
                </c:pt>
                <c:pt idx="100">
                  <c:v>0.00680717255657162</c:v>
                </c:pt>
                <c:pt idx="101">
                  <c:v>0.00694305848249754</c:v>
                </c:pt>
                <c:pt idx="102">
                  <c:v>0.0070802965071889</c:v>
                </c:pt>
                <c:pt idx="103">
                  <c:v>0.00721888663064569</c:v>
                </c:pt>
                <c:pt idx="104">
                  <c:v>0.00735882885286792</c:v>
                </c:pt>
                <c:pt idx="105">
                  <c:v>0.00750012317385557</c:v>
                </c:pt>
                <c:pt idx="106">
                  <c:v>0.00764276959360866</c:v>
                </c:pt>
                <c:pt idx="107">
                  <c:v>0.00778676811212718</c:v>
                </c:pt>
                <c:pt idx="108">
                  <c:v>0.00793211872941113</c:v>
                </c:pt>
                <c:pt idx="109">
                  <c:v>0.00807882144546051</c:v>
                </c:pt>
                <c:pt idx="110">
                  <c:v>0.00822687626027532</c:v>
                </c:pt>
                <c:pt idx="111">
                  <c:v>0.00837628317385557</c:v>
                </c:pt>
                <c:pt idx="112">
                  <c:v>0.00852704218620125</c:v>
                </c:pt>
                <c:pt idx="113">
                  <c:v>0.00867915329731236</c:v>
                </c:pt>
                <c:pt idx="114">
                  <c:v>0.0088326165071889</c:v>
                </c:pt>
                <c:pt idx="115">
                  <c:v>0.00898743181583088</c:v>
                </c:pt>
                <c:pt idx="116">
                  <c:v>0.00914359922323829</c:v>
                </c:pt>
                <c:pt idx="117">
                  <c:v>0.00930111872941113</c:v>
                </c:pt>
                <c:pt idx="118">
                  <c:v>0.0094599903343494</c:v>
                </c:pt>
                <c:pt idx="119">
                  <c:v>0.0096202140380531</c:v>
                </c:pt>
                <c:pt idx="120">
                  <c:v>0.00978178984052223</c:v>
                </c:pt>
                <c:pt idx="121">
                  <c:v>0.0099447177417568</c:v>
                </c:pt>
                <c:pt idx="122">
                  <c:v>0.0101089977417568</c:v>
                </c:pt>
                <c:pt idx="123">
                  <c:v>0.0102746298405222</c:v>
                </c:pt>
                <c:pt idx="124">
                  <c:v>0.0104416140380531</c:v>
                </c:pt>
                <c:pt idx="125">
                  <c:v>0.0106099503343494</c:v>
                </c:pt>
                <c:pt idx="126">
                  <c:v>0.0107796387294111</c:v>
                </c:pt>
                <c:pt idx="127">
                  <c:v>0.0109506792232383</c:v>
                </c:pt>
                <c:pt idx="128">
                  <c:v>0.0111230718158309</c:v>
                </c:pt>
                <c:pt idx="129">
                  <c:v>0.0112968165071889</c:v>
                </c:pt>
                <c:pt idx="130">
                  <c:v>0.0114719132973124</c:v>
                </c:pt>
                <c:pt idx="131">
                  <c:v>0.0116483621862012</c:v>
                </c:pt>
                <c:pt idx="132">
                  <c:v>0.0118261631738556</c:v>
                </c:pt>
                <c:pt idx="133">
                  <c:v>0.0120053162602753</c:v>
                </c:pt>
                <c:pt idx="134">
                  <c:v>0.0121858214454605</c:v>
                </c:pt>
                <c:pt idx="135">
                  <c:v>0.0123676787294111</c:v>
                </c:pt>
                <c:pt idx="136">
                  <c:v>0.0125508881121272</c:v>
                </c:pt>
                <c:pt idx="137">
                  <c:v>0.0127354495936087</c:v>
                </c:pt>
                <c:pt idx="138">
                  <c:v>0.0129213631738556</c:v>
                </c:pt>
                <c:pt idx="139">
                  <c:v>0.0131086288528679</c:v>
                </c:pt>
                <c:pt idx="140">
                  <c:v>0.0132972466306457</c:v>
                </c:pt>
                <c:pt idx="141">
                  <c:v>0.0134872165071889</c:v>
                </c:pt>
                <c:pt idx="142">
                  <c:v>0.0136785384824975</c:v>
                </c:pt>
                <c:pt idx="143">
                  <c:v>0.0138712125565716</c:v>
                </c:pt>
                <c:pt idx="144">
                  <c:v>0.0140652387294111</c:v>
                </c:pt>
                <c:pt idx="145">
                  <c:v>0.0142606170010161</c:v>
                </c:pt>
                <c:pt idx="146">
                  <c:v>0.0144573473713864</c:v>
                </c:pt>
                <c:pt idx="147">
                  <c:v>0.0146554298405222</c:v>
                </c:pt>
                <c:pt idx="148">
                  <c:v>0.0148548644084235</c:v>
                </c:pt>
                <c:pt idx="149">
                  <c:v>0.0150556510750901</c:v>
                </c:pt>
                <c:pt idx="150">
                  <c:v>0.0152577898405222</c:v>
                </c:pt>
              </c:numCache>
            </c:numRef>
          </c:yVal>
          <c:smooth val="1"/>
        </c:ser>
        <c:dLbls>
          <c:showLegendKey val="0"/>
          <c:showVal val="0"/>
          <c:showCatName val="0"/>
          <c:showSerName val="0"/>
          <c:showPercent val="0"/>
          <c:showBubbleSize val="0"/>
        </c:dLbls>
        <c:axId val="178635520"/>
        <c:axId val="178616960"/>
      </c:scatterChart>
      <c:valAx>
        <c:axId val="178605056"/>
        <c:scaling>
          <c:orientation val="minMax"/>
        </c:scaling>
        <c:delete val="0"/>
        <c:axPos val="b"/>
        <c:majorGridlines/>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615040"/>
        <c:crosses val="autoZero"/>
        <c:crossBetween val="midCat"/>
      </c:valAx>
      <c:valAx>
        <c:axId val="178615040"/>
        <c:scaling>
          <c:orientation val="minMax"/>
          <c:max val="100"/>
          <c:min val="60"/>
        </c:scaling>
        <c:delete val="0"/>
        <c:axPos val="l"/>
        <c:majorGridlines/>
        <c:title>
          <c:tx>
            <c:rich>
              <a:bodyPr rot="-5400000" spcFirstLastPara="0" vertOverflow="ellipsis" vert="horz" wrap="square" anchor="ctr" anchorCtr="1"/>
              <a:lstStyle/>
              <a:p>
                <a:pPr>
                  <a:defRPr lang="pl-PL" sz="1400" b="1" i="0" u="none" strike="noStrike" kern="1200" baseline="0">
                    <a:solidFill>
                      <a:schemeClr val="tx1"/>
                    </a:solidFill>
                    <a:latin typeface="+mn-lt"/>
                    <a:ea typeface="+mn-ea"/>
                    <a:cs typeface="+mn-cs"/>
                  </a:defRPr>
                </a:pPr>
                <a:r>
                  <a:rPr lang="en-US" sz="1400"/>
                  <a:t>Efficiency</a:t>
                </a:r>
                <a:r>
                  <a:rPr lang="en-US" sz="1400" baseline="0"/>
                  <a:t> (%)</a:t>
                </a:r>
                <a:endParaRPr lang="en-US" sz="1400"/>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605056"/>
        <c:crosses val="autoZero"/>
        <c:crossBetween val="midCat"/>
      </c:valAx>
      <c:valAx>
        <c:axId val="178635520"/>
        <c:scaling>
          <c:orientation val="minMax"/>
        </c:scaling>
        <c:delete val="1"/>
        <c:axPos val="b"/>
        <c:title>
          <c:tx>
            <c:rich>
              <a:bodyPr rot="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Loac</a:t>
                </a:r>
                <a:r>
                  <a:rPr lang="en-US" baseline="0"/>
                  <a:t> Current (A)</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616960"/>
        <c:crosses val="autoZero"/>
        <c:crossBetween val="midCat"/>
      </c:valAx>
      <c:valAx>
        <c:axId val="178616960"/>
        <c:scaling>
          <c:orientation val="minMax"/>
        </c:scaling>
        <c:delete val="0"/>
        <c:axPos val="r"/>
        <c:title>
          <c:tx>
            <c:rich>
              <a:bodyPr rot="-5400000" spcFirstLastPara="0" vertOverflow="ellipsis" vert="horz" wrap="square" anchor="ctr" anchorCtr="1"/>
              <a:lstStyle/>
              <a:p>
                <a:pPr>
                  <a:defRPr lang="pl-PL" sz="1400" b="1" i="0" u="none" strike="noStrike" kern="1200" baseline="0">
                    <a:solidFill>
                      <a:schemeClr val="tx1"/>
                    </a:solidFill>
                    <a:latin typeface="+mn-lt"/>
                    <a:ea typeface="+mn-ea"/>
                    <a:cs typeface="+mn-cs"/>
                  </a:defRPr>
                </a:pPr>
                <a:r>
                  <a:rPr lang="en-US" sz="1400"/>
                  <a:t>Losses</a:t>
                </a:r>
                <a:r>
                  <a:rPr lang="en-US" sz="1400" baseline="0"/>
                  <a:t> (W)</a:t>
                </a:r>
                <a:endParaRPr lang="en-US" sz="1400"/>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635520"/>
        <c:crosses val="max"/>
        <c:crossBetween val="midCat"/>
      </c:valAx>
    </c:plotArea>
    <c:legend>
      <c:legendPos val="r"/>
      <c:layout>
        <c:manualLayout>
          <c:xMode val="edge"/>
          <c:yMode val="edge"/>
          <c:x val="0.518944039261904"/>
          <c:y val="0.00648622047244094"/>
          <c:w val="0.396095729357041"/>
          <c:h val="0.121836530997006"/>
        </c:manualLayout>
      </c:layout>
      <c:overlay val="1"/>
      <c:txPr>
        <a:bodyPr rot="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1d3f89-6278-44e1-9e6e-868c9937126f}"/>
      </c:ext>
    </c:extLst>
  </c:chart>
  <c:spPr>
    <a:ln w="9525" cap="flat" cmpd="sng" algn="ctr">
      <a:noFill/>
      <a:prstDash val="solid"/>
      <a:round/>
    </a:ln>
  </c:spPr>
  <c:txPr>
    <a:bodyPr/>
    <a:lstStyle/>
    <a:p>
      <a:pPr>
        <a:defRPr lang="pl-PL"/>
      </a:pPr>
    </a:p>
  </c:txPr>
  <c:printSettings>
    <c:headerFooter/>
    <c:pageMargins b="0.75" l="0.7" r="0.7" t="0.75" header="0.3" footer="0.3"/>
    <c:pageSetup/>
  </c:printSettings>
</c:chartSpace>
</file>

<file path=xl/ctrlProps/ctrlProp1.xml><?xml version="1.0" encoding="utf-8"?>
<formControlPr xmlns="http://schemas.microsoft.com/office/spreadsheetml/2009/9/main" objectType="Spin" dx="20" fmlaLink="Loop_Modeling!$B$16" max="60" noThreeD="1" page="10" val="3"/>
</file>

<file path=xl/drawings/_rels/drawing1.xml.rels><?xml version="1.0" encoding="UTF-8" standalone="yes"?>
<Relationships xmlns="http://schemas.openxmlformats.org/package/2006/relationships"><Relationship Id="rId3" Type="http://schemas.openxmlformats.org/officeDocument/2006/relationships/image" Target="../media/image1.jpeg"/><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hyperlink" Target="http://www.ti.com/corp/docs/legal/copyright.shtml" TargetMode="External"/><Relationship Id="rId2" Type="http://schemas.openxmlformats.org/officeDocument/2006/relationships/image" Target="../media/image2.GIF"/><Relationship Id="rId1" Type="http://schemas.openxmlformats.org/officeDocument/2006/relationships/hyperlink" Target="http://www.ti.com" TargetMode="Externa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8" Type="http://schemas.openxmlformats.org/officeDocument/2006/relationships/image" Target="../media/image4.png"/><Relationship Id="rId7" Type="http://schemas.openxmlformats.org/officeDocument/2006/relationships/image" Target="../media/image3.png"/><Relationship Id="rId6" Type="http://schemas.openxmlformats.org/officeDocument/2006/relationships/chart" Target="../charts/chart9.xml"/><Relationship Id="rId5" Type="http://schemas.openxmlformats.org/officeDocument/2006/relationships/chart" Target="../charts/chart8.xml"/><Relationship Id="rId4" Type="http://schemas.openxmlformats.org/officeDocument/2006/relationships/chart" Target="../charts/chart7.xml"/><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image" Target="../media/image5.jpe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9</xdr:col>
      <xdr:colOff>22860</xdr:colOff>
      <xdr:row>52</xdr:row>
      <xdr:rowOff>1</xdr:rowOff>
    </xdr:from>
    <xdr:to>
      <xdr:col>25</xdr:col>
      <xdr:colOff>598714</xdr:colOff>
      <xdr:row>73</xdr:row>
      <xdr:rowOff>175261</xdr:rowOff>
    </xdr:to>
    <xdr:graphicFrame>
      <xdr:nvGraphicFramePr>
        <xdr:cNvPr id="2" name="Chart 1"/>
        <xdr:cNvGraphicFramePr/>
      </xdr:nvGraphicFramePr>
      <xdr:xfrm>
        <a:off x="5233035" y="11289665"/>
        <a:ext cx="9635490" cy="460438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22861</xdr:colOff>
      <xdr:row>76</xdr:row>
      <xdr:rowOff>7620</xdr:rowOff>
    </xdr:from>
    <xdr:to>
      <xdr:col>25</xdr:col>
      <xdr:colOff>600637</xdr:colOff>
      <xdr:row>100</xdr:row>
      <xdr:rowOff>163286</xdr:rowOff>
    </xdr:to>
    <xdr:graphicFrame>
      <xdr:nvGraphicFramePr>
        <xdr:cNvPr id="6" name="Chart 5"/>
        <xdr:cNvGraphicFramePr/>
      </xdr:nvGraphicFramePr>
      <xdr:xfrm>
        <a:off x="5233035" y="16402685"/>
        <a:ext cx="9635490" cy="49942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mc:AlternateContent xmlns:mc="http://schemas.openxmlformats.org/markup-compatibility/2006">
    <mc:Choice xmlns:a14="http://schemas.microsoft.com/office/drawing/2010/main" Requires="a14">
      <xdr:twoCellAnchor>
        <xdr:from>
          <xdr:col>7</xdr:col>
          <xdr:colOff>752474</xdr:colOff>
          <xdr:row>58</xdr:row>
          <xdr:rowOff>0</xdr:rowOff>
        </xdr:from>
        <xdr:to>
          <xdr:col>8</xdr:col>
          <xdr:colOff>269327</xdr:colOff>
          <xdr:row>60</xdr:row>
          <xdr:rowOff>0</xdr:rowOff>
        </xdr:to>
        <xdr:sp>
          <xdr:nvSpPr>
            <xdr:cNvPr id="1060" name="Spinner 36" hidden="1">
              <a:extLst>
                <a:ext uri="{63B3BB69-23CF-44E3-9099-C40C66FF867C}">
                  <a14:compatExt spid="_x0000_s1060"/>
                </a:ext>
              </a:extLst>
            </xdr:cNvPr>
            <xdr:cNvSpPr/>
          </xdr:nvSpPr>
          <xdr:spPr>
            <a:xfrm>
              <a:off x="4885690" y="12442190"/>
              <a:ext cx="317500" cy="428625"/>
            </a:xfrm>
            <a:prstGeom prst="rect">
              <a:avLst/>
            </a:prstGeom>
          </xdr:spPr>
        </xdr:sp>
        <xdr:clientData/>
      </xdr:twoCellAnchor>
    </mc:Choice>
    <mc:Fallback/>
  </mc:AlternateContent>
  <xdr:twoCellAnchor>
    <xdr:from>
      <xdr:col>13</xdr:col>
      <xdr:colOff>560313</xdr:colOff>
      <xdr:row>51</xdr:row>
      <xdr:rowOff>62752</xdr:rowOff>
    </xdr:from>
    <xdr:to>
      <xdr:col>15</xdr:col>
      <xdr:colOff>289878</xdr:colOff>
      <xdr:row>53</xdr:row>
      <xdr:rowOff>161363</xdr:rowOff>
    </xdr:to>
    <xdr:sp>
      <xdr:nvSpPr>
        <xdr:cNvPr id="4" name="TextBox 3"/>
        <xdr:cNvSpPr txBox="1"/>
      </xdr:nvSpPr>
      <xdr:spPr>
        <a:xfrm>
          <a:off x="7865745" y="11161395"/>
          <a:ext cx="910590" cy="48006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a:t>V</a:t>
          </a:r>
          <a:r>
            <a:rPr lang="en-US" sz="2400" baseline="-25000"/>
            <a:t>IN</a:t>
          </a:r>
          <a:r>
            <a:rPr lang="en-US" sz="2400"/>
            <a:t> =</a:t>
          </a:r>
          <a:endParaRPr lang="en-US" sz="2400"/>
        </a:p>
      </xdr:txBody>
    </xdr:sp>
    <xdr:clientData/>
  </xdr:twoCellAnchor>
  <xdr:twoCellAnchor>
    <xdr:from>
      <xdr:col>15</xdr:col>
      <xdr:colOff>130006</xdr:colOff>
      <xdr:row>51</xdr:row>
      <xdr:rowOff>71718</xdr:rowOff>
    </xdr:from>
    <xdr:to>
      <xdr:col>16</xdr:col>
      <xdr:colOff>461700</xdr:colOff>
      <xdr:row>53</xdr:row>
      <xdr:rowOff>170330</xdr:rowOff>
    </xdr:to>
    <xdr:sp textlink="VIN_var">
      <xdr:nvSpPr>
        <xdr:cNvPr id="3" name="TextBox 2"/>
        <xdr:cNvSpPr txBox="1"/>
      </xdr:nvSpPr>
      <xdr:spPr>
        <a:xfrm>
          <a:off x="8616315" y="11170285"/>
          <a:ext cx="922655" cy="48006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945AF08-B1D6-47C0-A1D9-CF710D8B3736}" type="TxLink">
            <a:rPr lang="en-US" sz="2400" b="0" i="0" u="none" strike="noStrike">
              <a:solidFill>
                <a:srgbClr val="000000"/>
              </a:solidFill>
              <a:latin typeface="Calibri" panose="020F0502020204030204"/>
              <a:cs typeface="Calibri" panose="020F0502020204030204"/>
            </a:rPr>
            <a:t>3</a:t>
          </a:fld>
          <a:endParaRPr lang="en-US" sz="4800"/>
        </a:p>
      </xdr:txBody>
    </xdr:sp>
    <xdr:clientData/>
  </xdr:twoCellAnchor>
  <xdr:twoCellAnchor>
    <xdr:from>
      <xdr:col>16</xdr:col>
      <xdr:colOff>271973</xdr:colOff>
      <xdr:row>51</xdr:row>
      <xdr:rowOff>62752</xdr:rowOff>
    </xdr:from>
    <xdr:to>
      <xdr:col>18</xdr:col>
      <xdr:colOff>11996</xdr:colOff>
      <xdr:row>53</xdr:row>
      <xdr:rowOff>161363</xdr:rowOff>
    </xdr:to>
    <xdr:sp>
      <xdr:nvSpPr>
        <xdr:cNvPr id="12" name="TextBox 11"/>
        <xdr:cNvSpPr txBox="1"/>
      </xdr:nvSpPr>
      <xdr:spPr>
        <a:xfrm>
          <a:off x="9349105" y="11161395"/>
          <a:ext cx="920750" cy="48006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a:t>V</a:t>
          </a:r>
          <a:endParaRPr lang="en-US" sz="2400"/>
        </a:p>
      </xdr:txBody>
    </xdr:sp>
    <xdr:clientData/>
  </xdr:twoCellAnchor>
  <xdr:twoCellAnchor>
    <xdr:from>
      <xdr:col>11</xdr:col>
      <xdr:colOff>376517</xdr:colOff>
      <xdr:row>76</xdr:row>
      <xdr:rowOff>26894</xdr:rowOff>
    </xdr:from>
    <xdr:to>
      <xdr:col>13</xdr:col>
      <xdr:colOff>116540</xdr:colOff>
      <xdr:row>78</xdr:row>
      <xdr:rowOff>134470</xdr:rowOff>
    </xdr:to>
    <xdr:sp>
      <xdr:nvSpPr>
        <xdr:cNvPr id="9" name="TextBox 8"/>
        <xdr:cNvSpPr txBox="1"/>
      </xdr:nvSpPr>
      <xdr:spPr>
        <a:xfrm>
          <a:off x="6500495" y="16421735"/>
          <a:ext cx="921385" cy="51689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a:t>V</a:t>
          </a:r>
          <a:r>
            <a:rPr lang="en-US" sz="2400" baseline="-25000"/>
            <a:t>IN</a:t>
          </a:r>
          <a:r>
            <a:rPr lang="en-US" sz="2400"/>
            <a:t> =</a:t>
          </a:r>
          <a:endParaRPr lang="en-US" sz="2400"/>
        </a:p>
      </xdr:txBody>
    </xdr:sp>
    <xdr:clientData/>
  </xdr:twoCellAnchor>
  <xdr:twoCellAnchor>
    <xdr:from>
      <xdr:col>13</xdr:col>
      <xdr:colOff>67851</xdr:colOff>
      <xdr:row>76</xdr:row>
      <xdr:rowOff>35860</xdr:rowOff>
    </xdr:from>
    <xdr:to>
      <xdr:col>14</xdr:col>
      <xdr:colOff>417475</xdr:colOff>
      <xdr:row>78</xdr:row>
      <xdr:rowOff>143437</xdr:rowOff>
    </xdr:to>
    <xdr:sp textlink="VIN_var">
      <xdr:nvSpPr>
        <xdr:cNvPr id="10" name="TextBox 9"/>
        <xdr:cNvSpPr txBox="1"/>
      </xdr:nvSpPr>
      <xdr:spPr>
        <a:xfrm>
          <a:off x="7372985" y="16430625"/>
          <a:ext cx="940435" cy="51689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E3B256A8-11FB-4B1E-A1DF-DFACC41BEEAC}" type="TxLink">
            <a:rPr lang="en-US" sz="2400" b="0" i="0" u="none" strike="noStrike">
              <a:solidFill>
                <a:srgbClr val="000000"/>
              </a:solidFill>
              <a:latin typeface="Calibri" panose="020F0502020204030204"/>
              <a:cs typeface="Calibri" panose="020F0502020204030204"/>
            </a:rPr>
            <a:t>3</a:t>
          </a:fld>
          <a:endParaRPr lang="en-US" sz="4800"/>
        </a:p>
      </xdr:txBody>
    </xdr:sp>
    <xdr:clientData/>
  </xdr:twoCellAnchor>
  <xdr:twoCellAnchor>
    <xdr:from>
      <xdr:col>13</xdr:col>
      <xdr:colOff>554332</xdr:colOff>
      <xdr:row>76</xdr:row>
      <xdr:rowOff>26894</xdr:rowOff>
    </xdr:from>
    <xdr:to>
      <xdr:col>15</xdr:col>
      <xdr:colOff>283896</xdr:colOff>
      <xdr:row>78</xdr:row>
      <xdr:rowOff>134470</xdr:rowOff>
    </xdr:to>
    <xdr:sp>
      <xdr:nvSpPr>
        <xdr:cNvPr id="11" name="TextBox 10"/>
        <xdr:cNvSpPr txBox="1"/>
      </xdr:nvSpPr>
      <xdr:spPr>
        <a:xfrm>
          <a:off x="7859395" y="16421735"/>
          <a:ext cx="911225" cy="51689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a:t>V</a:t>
          </a:r>
          <a:endParaRPr lang="en-US" sz="2400"/>
        </a:p>
      </xdr:txBody>
    </xdr:sp>
    <xdr:clientData/>
  </xdr:twoCellAnchor>
  <xdr:twoCellAnchor>
    <xdr:from>
      <xdr:col>11</xdr:col>
      <xdr:colOff>89647</xdr:colOff>
      <xdr:row>67</xdr:row>
      <xdr:rowOff>134471</xdr:rowOff>
    </xdr:from>
    <xdr:to>
      <xdr:col>15</xdr:col>
      <xdr:colOff>201684</xdr:colOff>
      <xdr:row>68</xdr:row>
      <xdr:rowOff>114300</xdr:rowOff>
    </xdr:to>
    <xdr:sp textlink="Loop_Modeling!A77">
      <xdr:nvSpPr>
        <xdr:cNvPr id="13" name="TextBox 12"/>
        <xdr:cNvSpPr txBox="1"/>
      </xdr:nvSpPr>
      <xdr:spPr>
        <a:xfrm>
          <a:off x="6214110" y="14481175"/>
          <a:ext cx="2473960" cy="21844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fld id="{37CE13BC-923D-44DF-81B9-035F6847C9BD}" type="TxLink">
            <a:rPr lang="en-US" sz="1100" b="1" i="0" u="none" strike="noStrike">
              <a:solidFill>
                <a:srgbClr val="FF0000"/>
              </a:solidFill>
              <a:latin typeface="Calibri" panose="020F0502020204030204"/>
              <a:cs typeface="Calibri" panose="020F0502020204030204"/>
            </a:rPr>
            <a:t>Crossover Frequency = 7,6 kHz</a:t>
          </a:fld>
          <a:endParaRPr lang="en-US" sz="2400" b="1">
            <a:solidFill>
              <a:srgbClr val="FF0000"/>
            </a:solidFill>
            <a:latin typeface="+mn-lt"/>
            <a:cs typeface="Arial" panose="020B0604020202020204" pitchFamily="7" charset="0"/>
          </a:endParaRPr>
        </a:p>
      </xdr:txBody>
    </xdr:sp>
    <xdr:clientData/>
  </xdr:twoCellAnchor>
  <xdr:twoCellAnchor>
    <xdr:from>
      <xdr:col>11</xdr:col>
      <xdr:colOff>156882</xdr:colOff>
      <xdr:row>69</xdr:row>
      <xdr:rowOff>56030</xdr:rowOff>
    </xdr:from>
    <xdr:to>
      <xdr:col>13</xdr:col>
      <xdr:colOff>202023</xdr:colOff>
      <xdr:row>70</xdr:row>
      <xdr:rowOff>31810</xdr:rowOff>
    </xdr:to>
    <xdr:sp textlink="Loop_Modeling!A78">
      <xdr:nvSpPr>
        <xdr:cNvPr id="14" name="TextBox 13"/>
        <xdr:cNvSpPr txBox="1"/>
      </xdr:nvSpPr>
      <xdr:spPr>
        <a:xfrm>
          <a:off x="6281420" y="14831695"/>
          <a:ext cx="1226185" cy="17589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fld id="{6C0E0563-A684-422E-8470-05FA83E0B546}" type="TxLink">
            <a:rPr lang="en-US" sz="1100" b="1" i="0" u="none" strike="noStrike">
              <a:solidFill>
                <a:srgbClr val="002060"/>
              </a:solidFill>
              <a:latin typeface="Calibri" panose="020F0502020204030204"/>
              <a:cs typeface="Calibri" panose="020F0502020204030204"/>
            </a:rPr>
            <a:t>Phase Margin = 46°</a:t>
          </a:fld>
          <a:endParaRPr lang="en-US" sz="2400" b="1">
            <a:solidFill>
              <a:srgbClr val="002060"/>
            </a:solidFill>
          </a:endParaRPr>
        </a:p>
      </xdr:txBody>
    </xdr:sp>
    <xdr:clientData/>
  </xdr:twoCellAnchor>
  <xdr:twoCellAnchor editAs="oneCell">
    <xdr:from>
      <xdr:col>10</xdr:col>
      <xdr:colOff>324970</xdr:colOff>
      <xdr:row>11</xdr:row>
      <xdr:rowOff>59671</xdr:rowOff>
    </xdr:from>
    <xdr:to>
      <xdr:col>25</xdr:col>
      <xdr:colOff>37679</xdr:colOff>
      <xdr:row>33</xdr:row>
      <xdr:rowOff>212911</xdr:rowOff>
    </xdr:to>
    <xdr:pic>
      <xdr:nvPicPr>
        <xdr:cNvPr id="8" name="Picture 7"/>
        <xdr:cNvPicPr>
          <a:picLocks noChangeAspect="1"/>
        </xdr:cNvPicPr>
      </xdr:nvPicPr>
      <xdr:blipFill>
        <a:blip r:embed="rId3" cstate="print">
          <a:extLst>
            <a:ext uri="{28A0092B-C50C-407E-A947-70E740481C1C}">
              <a14:useLocalDpi xmlns:a14="http://schemas.microsoft.com/office/drawing/2010/main" val="0"/>
            </a:ext>
          </a:extLst>
        </a:blip>
        <a:stretch>
          <a:fillRect/>
        </a:stretch>
      </xdr:blipFill>
      <xdr:spPr>
        <a:xfrm>
          <a:off x="5858510" y="2661920"/>
          <a:ext cx="8456930" cy="4801870"/>
        </a:xfrm>
        <a:prstGeom prst="rect">
          <a:avLst/>
        </a:prstGeom>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152400</xdr:rowOff>
    </xdr:from>
    <xdr:to>
      <xdr:col>1</xdr:col>
      <xdr:colOff>592455</xdr:colOff>
      <xdr:row>2</xdr:row>
      <xdr:rowOff>83771</xdr:rowOff>
    </xdr:to>
    <xdr:pic>
      <xdr:nvPicPr>
        <xdr:cNvPr id="2" name="Picture 1" descr="ti logo">
          <a:hlinkClick xmlns:r="http://schemas.openxmlformats.org/officeDocument/2006/relationships" r:id="rId1"/>
        </xdr:cNvPr>
        <xdr:cNvPicPr>
          <a:picLocks noChangeAspect="1" noChangeArrowheads="1"/>
        </xdr:cNvPicPr>
      </xdr:nvPicPr>
      <xdr:blipFill>
        <a:blip r:embed="rId2" cstate="print">
          <a:extLst>
            <a:ext uri="{28A0092B-C50C-407E-A947-70E740481C1C}">
              <a14:useLocalDpi xmlns:a14="http://schemas.microsoft.com/office/drawing/2010/main" val="0"/>
            </a:ext>
          </a:extLst>
        </a:blip>
        <a:srcRect/>
        <a:stretch>
          <a:fillRect/>
        </a:stretch>
      </xdr:blipFill>
      <xdr:spPr>
        <a:xfrm>
          <a:off x="0" y="152400"/>
          <a:ext cx="2306955" cy="2927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1</xdr:col>
      <xdr:colOff>200025</xdr:colOff>
      <xdr:row>0</xdr:row>
      <xdr:rowOff>114300</xdr:rowOff>
    </xdr:from>
    <xdr:ext cx="3752850" cy="381708"/>
    <xdr:sp>
      <xdr:nvSpPr>
        <xdr:cNvPr id="3" name="TextBox 2"/>
        <xdr:cNvSpPr txBox="1"/>
      </xdr:nvSpPr>
      <xdr:spPr>
        <a:xfrm>
          <a:off x="1914525" y="114300"/>
          <a:ext cx="3752850" cy="38163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US" sz="1600">
              <a:latin typeface="Arial Black" panose="020B0A04020102020204" pitchFamily="34" charset="0"/>
            </a:rPr>
            <a:t>About this tool...</a:t>
          </a:r>
          <a:endParaRPr lang="en-US" sz="1600">
            <a:latin typeface="Arial Black" panose="020B0A04020102020204" pitchFamily="34" charset="0"/>
          </a:endParaRPr>
        </a:p>
      </xdr:txBody>
    </xdr:sp>
    <xdr:clientData/>
  </xdr:oneCellAnchor>
  <xdr:oneCellAnchor>
    <xdr:from>
      <xdr:col>3</xdr:col>
      <xdr:colOff>323850</xdr:colOff>
      <xdr:row>1</xdr:row>
      <xdr:rowOff>28575</xdr:rowOff>
    </xdr:from>
    <xdr:ext cx="4719497" cy="254557"/>
    <xdr:sp>
      <xdr:nvSpPr>
        <xdr:cNvPr id="4" name="TextBox 3">
          <a:hlinkClick xmlns:r="http://schemas.openxmlformats.org/officeDocument/2006/relationships" r:id="rId3"/>
        </xdr:cNvPr>
        <xdr:cNvSpPr txBox="1"/>
      </xdr:nvSpPr>
      <xdr:spPr>
        <a:xfrm>
          <a:off x="6419850" y="209550"/>
          <a:ext cx="4719320" cy="254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i="0" u="none" strike="noStrike">
              <a:solidFill>
                <a:schemeClr val="tx1"/>
              </a:solidFill>
              <a:effectLst/>
              <a:latin typeface="Arial" panose="020B0604020202020204" pitchFamily="7" charset="0"/>
              <a:ea typeface="+mn-ea"/>
              <a:cs typeface="Arial" panose="020B0604020202020204" pitchFamily="7" charset="0"/>
            </a:rPr>
            <a:t>© Copyright 2024</a:t>
          </a:r>
          <a:r>
            <a:rPr lang="en-US" sz="1100" b="0" i="0">
              <a:solidFill>
                <a:schemeClr val="tx1"/>
              </a:solidFill>
              <a:effectLst/>
              <a:latin typeface="Arial" panose="020B0604020202020204" pitchFamily="7" charset="0"/>
              <a:ea typeface="+mn-ea"/>
              <a:cs typeface="Arial" panose="020B0604020202020204" pitchFamily="7" charset="0"/>
            </a:rPr>
            <a:t> Texas Instruments Incorporated. All rights reserved.</a:t>
          </a:r>
          <a:endParaRPr lang="en-US" sz="1100" b="0">
            <a:latin typeface="Arial" panose="020B0604020202020204" pitchFamily="7" charset="0"/>
            <a:cs typeface="Arial" panose="020B0604020202020204" pitchFamily="7" charset="0"/>
          </a:endParaRPr>
        </a:p>
      </xdr:txBody>
    </xdr:sp>
    <xdr:clientData/>
  </xdr:oneCellAnchor>
  <xdr:oneCellAnchor>
    <xdr:from>
      <xdr:col>0</xdr:col>
      <xdr:colOff>95247</xdr:colOff>
      <xdr:row>6</xdr:row>
      <xdr:rowOff>47623</xdr:rowOff>
    </xdr:from>
    <xdr:ext cx="11229977" cy="4086227"/>
    <xdr:sp>
      <xdr:nvSpPr>
        <xdr:cNvPr id="5" name="TextBox 4"/>
        <xdr:cNvSpPr txBox="1"/>
      </xdr:nvSpPr>
      <xdr:spPr>
        <a:xfrm>
          <a:off x="94615" y="1132840"/>
          <a:ext cx="11229975" cy="4086860"/>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1">
              <a:latin typeface="Arial" panose="020B0604020202020204" pitchFamily="7" charset="0"/>
              <a:cs typeface="Arial" panose="020B0604020202020204" pitchFamily="7" charset="0"/>
            </a:rPr>
            <a:t>LICENSE INFORMATION:</a:t>
          </a:r>
          <a:endParaRPr lang="en-US" sz="1000" b="1">
            <a:latin typeface="Arial" panose="020B0604020202020204" pitchFamily="7" charset="0"/>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Copyright (c) 2021 Texas Instruments Incorporated</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All rights reserved not granted herein.</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Limited License.  </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Texas Instruments Incorporated grants a world-wide, royalty-free, non-exclusive license under copyrights and patents it now or hereafter owns or controls to make, have made, use, import, offer to sell and sell ("Utilize") this software subject to the terms herein.  With respect to the foregoing patent license, such license is granted  solely to the extent that any such patent is necessary to Utilize the software alone.  The patent license shall not apply to any combinations which include this software, other than combinations with devices manufactured by or for TI (“TI Devices”).  No hardware patent is licensed hereunder.</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Redistributions must preserve existing copyright notices and reproduce this license (including the above copyright notice and the disclaimer and (if applicable) source code license limitations below) in the documentation and/or other materials provided with the distribution</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Redistribution and use in binary form, without modification, are permitted provided that the following conditions are met:</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No reverse engineering, decompilation, or disassembly of this software is permitted with respect to any software provided in binary form. </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Any redistribution and use are licensed by TI for use only with TI Devices.</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Nothing shall obligate TI to provide you with source code for the software licensed and provided to you in object code.</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If software source code is provided to you, modification and redistribution of the source code are permitted provided that the following conditions are met:</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Any redistribution and use of the source code, including any resulting derivative works, are licensed by TI for use only with TI Devices.</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Any redistribution and use of any object code compiled from the source code and any resulting derivative works, are licensed by TI for use only with TI Devices.</a:t>
          </a:r>
          <a:endParaRPr lang="en-US" sz="900">
            <a:solidFill>
              <a:schemeClr val="tx1"/>
            </a:solidFill>
            <a:effectLst/>
            <a:latin typeface="Arial" panose="020B0604020202020204" pitchFamily="7" charset="0"/>
            <a:ea typeface="+mn-ea"/>
            <a:cs typeface="Arial" panose="020B0604020202020204" pitchFamily="7" charset="0"/>
          </a:endParaRPr>
        </a:p>
        <a:p>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Neither the name of Texas Instruments Incorporated nor the names of its suppliers may be used to endorse or promote products derived from this software without specific prior written permission.</a:t>
          </a:r>
          <a:endParaRPr lang="en-US" sz="1000" b="1">
            <a:latin typeface="Arial" panose="020B0604020202020204" pitchFamily="7" charset="0"/>
            <a:cs typeface="Arial" panose="020B0604020202020204" pitchFamily="7" charset="0"/>
          </a:endParaRPr>
        </a:p>
        <a:p>
          <a:pPr marL="0" marR="0" indent="0" defTabSz="914400" eaLnBrk="1" fontAlgn="auto" latinLnBrk="0" hangingPunct="1">
            <a:lnSpc>
              <a:spcPct val="100000"/>
            </a:lnSpc>
            <a:spcBef>
              <a:spcPts val="0"/>
            </a:spcBef>
            <a:spcAft>
              <a:spcPts val="0"/>
            </a:spcAft>
            <a:buClrTx/>
            <a:buSzTx/>
            <a:buFontTx/>
            <a:buNone/>
            <a:defRPr/>
          </a:pPr>
          <a:endParaRPr lang="en-US" sz="1000" baseline="0">
            <a:latin typeface="Arial" panose="020B0604020202020204" pitchFamily="7" charset="0"/>
            <a:cs typeface="Arial" panose="020B0604020202020204" pitchFamily="7" charset="0"/>
          </a:endParaRPr>
        </a:p>
        <a:p>
          <a:pPr marL="0" marR="0" indent="0" defTabSz="914400" eaLnBrk="1" fontAlgn="auto" latinLnBrk="0" hangingPunct="1">
            <a:lnSpc>
              <a:spcPct val="100000"/>
            </a:lnSpc>
            <a:spcBef>
              <a:spcPts val="0"/>
            </a:spcBef>
            <a:spcAft>
              <a:spcPts val="0"/>
            </a:spcAft>
            <a:buClrTx/>
            <a:buSzTx/>
            <a:buFontTx/>
            <a:buNone/>
            <a:defRPr/>
          </a:pPr>
          <a:r>
            <a:rPr lang="en-US" sz="1000" b="1" baseline="0">
              <a:latin typeface="Arial" panose="020B0604020202020204" pitchFamily="7" charset="0"/>
              <a:cs typeface="Arial" panose="020B0604020202020204" pitchFamily="7" charset="0"/>
            </a:rPr>
            <a:t>DISCLAMER:</a:t>
          </a:r>
          <a:endParaRPr lang="en-US" sz="1000" b="1" baseline="0">
            <a:latin typeface="Arial" panose="020B0604020202020204" pitchFamily="7" charset="0"/>
            <a:cs typeface="Arial" panose="020B0604020202020204" pitchFamily="7" charset="0"/>
          </a:endParaRPr>
        </a:p>
        <a:p>
          <a:pPr marL="0" marR="0" indent="0" defTabSz="914400" eaLnBrk="1" fontAlgn="auto" latinLnBrk="0" hangingPunct="1">
            <a:lnSpc>
              <a:spcPct val="100000"/>
            </a:lnSpc>
            <a:spcBef>
              <a:spcPts val="0"/>
            </a:spcBef>
            <a:spcAft>
              <a:spcPts val="0"/>
            </a:spcAft>
            <a:buClrTx/>
            <a:buSzTx/>
            <a:buFontTx/>
            <a:buNone/>
            <a:defRPr/>
          </a:pPr>
          <a:r>
            <a:rPr lang="en-US" sz="800" baseline="0">
              <a:latin typeface="Arial" panose="020B0604020202020204" pitchFamily="7" charset="0"/>
              <a:cs typeface="Arial" panose="020B0604020202020204" pitchFamily="7" charset="0"/>
            </a:rPr>
            <a:t>THIS SOFTWARE IS PROVIDED BY TI AND TI’S LICENSORS "AS IS" AND ANY EXPRESS OR IMPLIED WARRANTIES, INCLUDING, BUT NOT LIMITED TO, THE IMPLIED WARRANTIES OF MERCHANTABILITY AND FITNESS FOR A PARTICULAR PURPOSE ARE DISCLAIMED. IN NO EVENT SHALL TI AND TI’S LICENSORS BE LIABLE FOR ANY DIRECT, INDIRECT, INCIDENTAL, SPECIAL, EXEMPLARY, OR CONSEQUENTIAL DAMAGES (INCLUDING, BUT NOT LIMITED TO, PROCUREMENT OF SUBSTITUTE GOODS OR SERVICES; LOSS OF USE, DATA, OR PROFITS; OR BUSINESS INTERRUPTION) HOWEVER CAUSED AND ON ANY THEORY OF LIABILITY, WHETHER IN CONTRACT, STRICT LIABILITY, OR TORT (INCLUDING NEGLIGENCE OR OTHERWISE) ARISING IN ANY WAY OUT OF THE USE OF THIS SOFTWARE, EVEN IF ADVISED OF THE POSSIBILITY OF SUCH DAMAGE.</a:t>
          </a:r>
          <a:endParaRPr lang="en-US" sz="800" baseline="0">
            <a:latin typeface="Arial" panose="020B0604020202020204" pitchFamily="7" charset="0"/>
            <a:cs typeface="Arial" panose="020B0604020202020204" pitchFamily="7" charset="0"/>
          </a:endParaRPr>
        </a:p>
      </xdr:txBody>
    </xdr:sp>
    <xdr:clientData/>
  </xdr:oneCellAnchor>
  <xdr:oneCellAnchor>
    <xdr:from>
      <xdr:col>0</xdr:col>
      <xdr:colOff>95247</xdr:colOff>
      <xdr:row>29</xdr:row>
      <xdr:rowOff>47623</xdr:rowOff>
    </xdr:from>
    <xdr:ext cx="11229977" cy="809627"/>
    <xdr:sp>
      <xdr:nvSpPr>
        <xdr:cNvPr id="6" name="TextBox 5"/>
        <xdr:cNvSpPr txBox="1"/>
      </xdr:nvSpPr>
      <xdr:spPr>
        <a:xfrm>
          <a:off x="94615" y="5295265"/>
          <a:ext cx="11229975" cy="810260"/>
        </a:xfrm>
        <a:prstGeom prst="rect">
          <a:avLst/>
        </a:prstGeom>
        <a:solidFill>
          <a:schemeClr val="bg1">
            <a:lumMod val="9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solidFill>
                <a:schemeClr val="tx1"/>
              </a:solidFill>
              <a:effectLst/>
              <a:latin typeface="+mn-lt"/>
              <a:ea typeface="+mn-ea"/>
              <a:cs typeface="+mn-cs"/>
            </a:rPr>
            <a:t>IMPORTANT</a:t>
          </a:r>
          <a:r>
            <a:rPr lang="en-US" sz="1100" b="1" baseline="0">
              <a:solidFill>
                <a:schemeClr val="tx1"/>
              </a:solidFill>
              <a:effectLst/>
              <a:latin typeface="+mn-lt"/>
              <a:ea typeface="+mn-ea"/>
              <a:cs typeface="+mn-cs"/>
            </a:rPr>
            <a:t>:   </a:t>
          </a:r>
          <a:endParaRPr lang="en-US" sz="800">
            <a:effectLst/>
          </a:endParaRPr>
        </a:p>
        <a:p>
          <a:r>
            <a:rPr lang="en-US" sz="1100" baseline="0">
              <a:solidFill>
                <a:schemeClr val="tx1"/>
              </a:solidFill>
              <a:effectLst/>
              <a:latin typeface="+mn-lt"/>
              <a:ea typeface="+mn-ea"/>
              <a:cs typeface="+mn-cs"/>
            </a:rPr>
            <a:t>1.  Do not delete this worksheet!</a:t>
          </a:r>
          <a:endParaRPr lang="en-US" sz="800">
            <a:effectLst/>
          </a:endParaRPr>
        </a:p>
        <a:p>
          <a:pPr eaLnBrk="1" fontAlgn="auto" latinLnBrk="0" hangingPunct="1"/>
          <a:r>
            <a:rPr lang="en-US" sz="1100" baseline="0">
              <a:solidFill>
                <a:schemeClr val="tx1"/>
              </a:solidFill>
              <a:effectLst/>
              <a:latin typeface="+mn-lt"/>
              <a:ea typeface="+mn-ea"/>
              <a:cs typeface="+mn-cs"/>
            </a:rPr>
            <a:t>2.  Redistributions must retain the above copyright and the following disclaimer.</a:t>
          </a:r>
          <a:endParaRPr lang="en-US" sz="800">
            <a:effectLst/>
          </a:endParaRPr>
        </a:p>
        <a:p>
          <a:endParaRPr lang="en-US" sz="800" baseline="0">
            <a:latin typeface="Arial" panose="020B0604020202020204" pitchFamily="7" charset="0"/>
            <a:cs typeface="Arial" panose="020B0604020202020204" pitchFamily="7" charset="0"/>
          </a:endParaRPr>
        </a:p>
      </xdr:txBody>
    </xdr:sp>
    <xdr:clientData/>
  </xdr:oneCellAnchor>
  <xdr:oneCellAnchor>
    <xdr:from>
      <xdr:col>0</xdr:col>
      <xdr:colOff>95247</xdr:colOff>
      <xdr:row>6</xdr:row>
      <xdr:rowOff>47623</xdr:rowOff>
    </xdr:from>
    <xdr:ext cx="11229977" cy="4200527"/>
    <xdr:sp>
      <xdr:nvSpPr>
        <xdr:cNvPr id="7" name="TextBox 6"/>
        <xdr:cNvSpPr txBox="1"/>
      </xdr:nvSpPr>
      <xdr:spPr>
        <a:xfrm>
          <a:off x="94615" y="1132840"/>
          <a:ext cx="11229975" cy="4201160"/>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marR="0" lvl="0" indent="0" algn="ctr" defTabSz="914400" eaLnBrk="1" fontAlgn="auto" latinLnBrk="0" hangingPunct="1">
            <a:lnSpc>
              <a:spcPct val="100000"/>
            </a:lnSpc>
            <a:spcBef>
              <a:spcPts val="0"/>
            </a:spcBef>
            <a:spcAft>
              <a:spcPts val="0"/>
            </a:spcAft>
            <a:buClrTx/>
            <a:buSzTx/>
            <a:buFontTx/>
            <a:buNone/>
            <a:defRPr/>
          </a:pPr>
          <a:r>
            <a:rPr kumimoji="0" lang="en-US" sz="1800" b="1" i="0" u="none" strike="noStrike" kern="0" cap="none" spc="0" normalizeH="0" baseline="0" noProof="0">
              <a:ln>
                <a:noFill/>
              </a:ln>
              <a:solidFill>
                <a:sysClr val="windowText" lastClr="000000"/>
              </a:solidFill>
              <a:effectLst/>
              <a:uLnTx/>
              <a:uFillTx/>
              <a:latin typeface="+mn-lt"/>
              <a:ea typeface="+mn-ea"/>
              <a:cs typeface="+mn-cs"/>
            </a:rPr>
            <a:t>IMPORTANT NOTICE AND DISCLAIMER</a:t>
          </a:r>
          <a:endParaRPr kumimoji="0" lang="en-US" sz="1800" b="1" i="0" u="none" strike="noStrike" kern="0" cap="none" spc="0" normalizeH="0" baseline="0" noProof="0">
            <a:ln>
              <a:noFill/>
            </a:ln>
            <a:solidFill>
              <a:sysClr val="windowText" lastClr="000000"/>
            </a:solidFill>
            <a:effectLst/>
            <a:uLnTx/>
            <a:uFillTx/>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defRPr/>
          </a:pPr>
          <a:br>
            <a:rPr kumimoji="0" lang="en-US" sz="10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TI PROVIDES TECHNICAL AND RELIABILITY DATA (INCLUDING DATA SHEETS), DESIGN RESOURCES (INCLUDING REFERENCE</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DESIGNS), APPLICATION OR OTHER DESIGN ADVICE, WEB TOOLS, SAFETY INFORMATION, AND OTHER RESOURCES “AS IS”</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AND WITH ALL FAULTS, AND DISCLAIMS ALL WARRANTIES, EXPRESS AND IMPLIED, INCLUDING WITHOUT LIMITATION ANY</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IMPLIED WARRANTIES OF MERCHANTABILITY, FITNESS FOR A PARTICULAR PURPOSE OR NON-INFRINGEMENT OF THIRD</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PARTY INTELLECTUAL PROPERTY RIGHTS.</a:t>
          </a:r>
          <a:endParaRPr kumimoji="0" lang="en-US" sz="1050" b="0" i="0" u="none" strike="noStrike" kern="0" cap="none" spc="0" normalizeH="0" baseline="0" noProof="0">
            <a:ln>
              <a:noFill/>
            </a:ln>
            <a:solidFill>
              <a:sysClr val="windowText" lastClr="000000"/>
            </a:solidFill>
            <a:effectLst/>
            <a:uLnTx/>
            <a:uFillTx/>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defRPr/>
          </a:pP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These resources are intended for skilled developers designing with TI products. You are solely responsible for (1) selecting the appropriate</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TI products for your application, (2) designing, validating and testing your application, and (3) ensuring your application meets applicable</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standards, and any other safety, security, regulatory or other requirements.</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These resources are subject to change without notice. TI grants you permission to use these resources only for development of an</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application that uses the TI products described in the resource. Other reproduction and display of these resources is prohibited. No license</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is granted to any other TI intellectual property right or to any third party intellectual property right. TI disclaims responsibility for, and you</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will fully indemnify TI and its representatives against, any claims, damages, costs, losses, and liabilities arising out of your use of these</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resources.</a:t>
          </a:r>
          <a:endParaRPr kumimoji="0" lang="en-US" sz="1050" b="0" i="0" u="none" strike="noStrike" kern="0" cap="none" spc="0" normalizeH="0" baseline="0" noProof="0">
            <a:ln>
              <a:noFill/>
            </a:ln>
            <a:solidFill>
              <a:sysClr val="windowText" lastClr="000000"/>
            </a:solidFill>
            <a:effectLst/>
            <a:uLnTx/>
            <a:uFillTx/>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defRPr/>
          </a:pP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TI’s products are provided subject to TI’s Terms of Sale or other applicable terms available either on ti.com or provided in conjunction with</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such TI products. TI’s provision of these resources does not expand or otherwise alter TI’s applicable warranties or warranty disclaimers for</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TI products.</a:t>
          </a:r>
          <a:endParaRPr kumimoji="0" lang="en-US" sz="1050" b="0" i="0" u="none" strike="noStrike" kern="0" cap="none" spc="0" normalizeH="0" baseline="0" noProof="0">
            <a:ln>
              <a:noFill/>
            </a:ln>
            <a:solidFill>
              <a:sysClr val="windowText" lastClr="000000"/>
            </a:solidFill>
            <a:effectLst/>
            <a:uLnTx/>
            <a:uFillTx/>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defRPr/>
          </a:pP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TI objects to and rejects any additional or different terms you may have proposed. IMPORTANT NOTICE</a:t>
          </a:r>
          <a:endParaRPr kumimoji="0" lang="en-US" sz="1050" b="0" i="0" u="none" strike="noStrike" kern="0" cap="none" spc="0" normalizeH="0" baseline="0" noProof="0">
            <a:ln>
              <a:noFill/>
            </a:ln>
            <a:solidFill>
              <a:sysClr val="windowText" lastClr="000000"/>
            </a:solidFill>
            <a:effectLst/>
            <a:uLnTx/>
            <a:uFillTx/>
            <a:latin typeface="+mn-lt"/>
            <a:ea typeface="+mn-ea"/>
            <a:cs typeface="+mn-cs"/>
          </a:endParaRPr>
        </a:p>
        <a:p>
          <a:pPr marL="0" marR="0" lvl="0" indent="0" algn="ctr" defTabSz="914400" eaLnBrk="1" fontAlgn="auto" latinLnBrk="0" hangingPunct="1">
            <a:lnSpc>
              <a:spcPct val="100000"/>
            </a:lnSpc>
            <a:spcBef>
              <a:spcPts val="0"/>
            </a:spcBef>
            <a:spcAft>
              <a:spcPts val="0"/>
            </a:spcAft>
            <a:buClrTx/>
            <a:buSzTx/>
            <a:buFontTx/>
            <a:buNone/>
            <a:defRPr/>
          </a:pP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Mailing Address: Texas Instruments, Post Office Box 655303, Dallas, Texas 75265</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Copyright © 2024, Texas Instruments Incorporated</a:t>
          </a:r>
          <a:endParaRPr kumimoji="0" lang="en-US" sz="700" b="0" i="0" u="none" strike="noStrike" kern="0" cap="none" spc="0" normalizeH="0" baseline="0" noProof="0">
            <a:ln>
              <a:noFill/>
            </a:ln>
            <a:solidFill>
              <a:sysClr val="windowText" lastClr="000000"/>
            </a:solidFill>
            <a:effectLst/>
            <a:uLnTx/>
            <a:uFillTx/>
            <a:latin typeface="Arial" panose="020B0604020202020204" pitchFamily="7" charset="0"/>
            <a:ea typeface="+mn-ea"/>
            <a:cs typeface="Arial" panose="020B0604020202020204" pitchFamily="7" charset="0"/>
          </a:endParaRPr>
        </a:p>
      </xdr:txBody>
    </xdr:sp>
    <xdr:clientData/>
  </xdr:one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9</xdr:col>
      <xdr:colOff>505866</xdr:colOff>
      <xdr:row>199</xdr:row>
      <xdr:rowOff>166488</xdr:rowOff>
    </xdr:from>
    <xdr:to>
      <xdr:col>15</xdr:col>
      <xdr:colOff>375236</xdr:colOff>
      <xdr:row>202</xdr:row>
      <xdr:rowOff>52509</xdr:rowOff>
    </xdr:to>
    <xdr:sp>
      <xdr:nvSpPr>
        <xdr:cNvPr id="2" name="TextBox 1"/>
        <xdr:cNvSpPr txBox="1"/>
      </xdr:nvSpPr>
      <xdr:spPr>
        <a:xfrm>
          <a:off x="10039985" y="38262560"/>
          <a:ext cx="3698240" cy="4572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Need to explain the placement of the Zero</a:t>
          </a:r>
          <a:r>
            <a:rPr lang="en-US" sz="1100" baseline="0"/>
            <a:t> a little bit better. The pole location should also be based on the location of the zero</a:t>
          </a:r>
          <a:endParaRPr lang="en-US" sz="1100"/>
        </a:p>
      </xdr:txBody>
    </xdr:sp>
    <xdr:clientData/>
  </xdr:twoCellAnchor>
  <xdr:twoCellAnchor>
    <xdr:from>
      <xdr:col>8</xdr:col>
      <xdr:colOff>842683</xdr:colOff>
      <xdr:row>174</xdr:row>
      <xdr:rowOff>17930</xdr:rowOff>
    </xdr:from>
    <xdr:to>
      <xdr:col>14</xdr:col>
      <xdr:colOff>475130</xdr:colOff>
      <xdr:row>184</xdr:row>
      <xdr:rowOff>98613</xdr:rowOff>
    </xdr:to>
    <xdr:sp>
      <xdr:nvSpPr>
        <xdr:cNvPr id="4" name="TextBox 3"/>
        <xdr:cNvSpPr txBox="1"/>
      </xdr:nvSpPr>
      <xdr:spPr>
        <a:xfrm>
          <a:off x="9534525" y="33351470"/>
          <a:ext cx="3703955" cy="198564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Loop</a:t>
          </a:r>
          <a:r>
            <a:rPr lang="en-US" sz="1100" baseline="0"/>
            <a:t> compensation is calculated for the minimum input voltage. This ensure stability over the input votlage range</a:t>
          </a:r>
          <a:endParaRPr lang="en-US" sz="1100"/>
        </a:p>
      </xdr:txBody>
    </xdr:sp>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8</xdr:col>
      <xdr:colOff>375238</xdr:colOff>
      <xdr:row>64</xdr:row>
      <xdr:rowOff>185055</xdr:rowOff>
    </xdr:from>
    <xdr:to>
      <xdr:col>16</xdr:col>
      <xdr:colOff>643009</xdr:colOff>
      <xdr:row>84</xdr:row>
      <xdr:rowOff>3117</xdr:rowOff>
    </xdr:to>
    <xdr:graphicFrame>
      <xdr:nvGraphicFramePr>
        <xdr:cNvPr id="2" name="Chart 1"/>
        <xdr:cNvGraphicFramePr/>
      </xdr:nvGraphicFramePr>
      <xdr:xfrm>
        <a:off x="5175250" y="12786360"/>
        <a:ext cx="5092700" cy="362775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14</xdr:col>
      <xdr:colOff>1051560</xdr:colOff>
      <xdr:row>49</xdr:row>
      <xdr:rowOff>45720</xdr:rowOff>
    </xdr:from>
    <xdr:to>
      <xdr:col>25</xdr:col>
      <xdr:colOff>563880</xdr:colOff>
      <xdr:row>73</xdr:row>
      <xdr:rowOff>19050</xdr:rowOff>
    </xdr:to>
    <xdr:graphicFrame>
      <xdr:nvGraphicFramePr>
        <xdr:cNvPr id="4" name="Chart 3"/>
        <xdr:cNvGraphicFramePr/>
      </xdr:nvGraphicFramePr>
      <xdr:xfrm>
        <a:off x="11138535" y="9675495"/>
        <a:ext cx="7122795" cy="455485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45</xdr:col>
      <xdr:colOff>186690</xdr:colOff>
      <xdr:row>39</xdr:row>
      <xdr:rowOff>167640</xdr:rowOff>
    </xdr:from>
    <xdr:to>
      <xdr:col>47</xdr:col>
      <xdr:colOff>515247</xdr:colOff>
      <xdr:row>45</xdr:row>
      <xdr:rowOff>69932</xdr:rowOff>
    </xdr:to>
    <xdr:pic>
      <xdr:nvPicPr>
        <xdr:cNvPr id="7" name="Picture 6"/>
        <xdr:cNvPicPr>
          <a:picLocks noChangeAspect="1"/>
        </xdr:cNvPicPr>
      </xdr:nvPicPr>
      <xdr:blipFill>
        <a:blip r:embed="rId7"/>
        <a:stretch>
          <a:fillRect/>
        </a:stretch>
      </xdr:blipFill>
      <xdr:spPr>
        <a:xfrm>
          <a:off x="30104715" y="7892415"/>
          <a:ext cx="1804670" cy="1045210"/>
        </a:xfrm>
        <a:prstGeom prst="rect">
          <a:avLst/>
        </a:prstGeom>
      </xdr:spPr>
    </xdr:pic>
    <xdr:clientData/>
  </xdr:twoCellAnchor>
  <xdr:twoCellAnchor editAs="oneCell">
    <xdr:from>
      <xdr:col>47</xdr:col>
      <xdr:colOff>247650</xdr:colOff>
      <xdr:row>40</xdr:row>
      <xdr:rowOff>60960</xdr:rowOff>
    </xdr:from>
    <xdr:to>
      <xdr:col>51</xdr:col>
      <xdr:colOff>567929</xdr:colOff>
      <xdr:row>44</xdr:row>
      <xdr:rowOff>129611</xdr:rowOff>
    </xdr:to>
    <xdr:pic>
      <xdr:nvPicPr>
        <xdr:cNvPr id="8" name="Picture 7"/>
        <xdr:cNvPicPr>
          <a:picLocks noChangeAspect="1"/>
        </xdr:cNvPicPr>
      </xdr:nvPicPr>
      <xdr:blipFill>
        <a:blip r:embed="rId8"/>
        <a:stretch>
          <a:fillRect/>
        </a:stretch>
      </xdr:blipFill>
      <xdr:spPr>
        <a:xfrm>
          <a:off x="31642050" y="7976235"/>
          <a:ext cx="2720340" cy="830580"/>
        </a:xfrm>
        <a:prstGeom prst="rect">
          <a:avLst/>
        </a:prstGeom>
      </xdr:spPr>
    </xdr:pic>
    <xdr:clientData/>
  </xdr:twoCellAnchor>
  <xdr:twoCellAnchor>
    <xdr:from>
      <xdr:col>44</xdr:col>
      <xdr:colOff>30480</xdr:colOff>
      <xdr:row>49</xdr:row>
      <xdr:rowOff>64770</xdr:rowOff>
    </xdr:from>
    <xdr:to>
      <xdr:col>55</xdr:col>
      <xdr:colOff>144780</xdr:colOff>
      <xdr:row>73</xdr:row>
      <xdr:rowOff>38100</xdr:rowOff>
    </xdr:to>
    <xdr:graphicFrame>
      <xdr:nvGraphicFramePr>
        <xdr:cNvPr id="9" name="Chart 8"/>
        <xdr:cNvGraphicFramePr/>
      </xdr:nvGraphicFramePr>
      <xdr:xfrm>
        <a:off x="29348430" y="9694545"/>
        <a:ext cx="6981825" cy="455485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7620</xdr:colOff>
      <xdr:row>21</xdr:row>
      <xdr:rowOff>121920</xdr:rowOff>
    </xdr:from>
    <xdr:to>
      <xdr:col>26</xdr:col>
      <xdr:colOff>45720</xdr:colOff>
      <xdr:row>45</xdr:row>
      <xdr:rowOff>80010</xdr:rowOff>
    </xdr:to>
    <xdr:graphicFrame>
      <xdr:nvGraphicFramePr>
        <xdr:cNvPr id="10" name="Chart 9"/>
        <xdr:cNvGraphicFramePr/>
      </xdr:nvGraphicFramePr>
      <xdr:xfrm>
        <a:off x="11199495" y="4408170"/>
        <a:ext cx="7143750" cy="453961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8325</xdr:colOff>
      <xdr:row>32</xdr:row>
      <xdr:rowOff>8964</xdr:rowOff>
    </xdr:from>
    <xdr:to>
      <xdr:col>11</xdr:col>
      <xdr:colOff>591031</xdr:colOff>
      <xdr:row>40</xdr:row>
      <xdr:rowOff>131269</xdr:rowOff>
    </xdr:to>
    <xdr:sp>
      <xdr:nvSpPr>
        <xdr:cNvPr id="11" name="TextBox 10"/>
        <xdr:cNvSpPr txBox="1"/>
      </xdr:nvSpPr>
      <xdr:spPr>
        <a:xfrm>
          <a:off x="6513830" y="6400165"/>
          <a:ext cx="2363470" cy="16459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8</xdr:col>
      <xdr:colOff>0</xdr:colOff>
      <xdr:row>49</xdr:row>
      <xdr:rowOff>13855</xdr:rowOff>
    </xdr:from>
    <xdr:to>
      <xdr:col>12</xdr:col>
      <xdr:colOff>83127</xdr:colOff>
      <xdr:row>60</xdr:row>
      <xdr:rowOff>13855</xdr:rowOff>
    </xdr:to>
    <xdr:sp>
      <xdr:nvSpPr>
        <xdr:cNvPr id="12" name="TextBox 11"/>
        <xdr:cNvSpPr txBox="1"/>
      </xdr:nvSpPr>
      <xdr:spPr>
        <a:xfrm>
          <a:off x="6505575" y="9643110"/>
          <a:ext cx="2463800" cy="21050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The</a:t>
          </a:r>
          <a:r>
            <a:rPr lang="en-US" sz="1100" baseline="0"/>
            <a:t> error amplifier is the same regardless of the mode of operation</a:t>
          </a:r>
          <a:endParaRPr lang="en-US" sz="1100" baseline="0"/>
        </a:p>
      </xdr:txBody>
    </xdr:sp>
    <xdr:clientData/>
  </xdr:twoCellAnchor>
  <xdr:twoCellAnchor>
    <xdr:from>
      <xdr:col>31</xdr:col>
      <xdr:colOff>313764</xdr:colOff>
      <xdr:row>48</xdr:row>
      <xdr:rowOff>179295</xdr:rowOff>
    </xdr:from>
    <xdr:to>
      <xdr:col>42</xdr:col>
      <xdr:colOff>438673</xdr:colOff>
      <xdr:row>72</xdr:row>
      <xdr:rowOff>152625</xdr:rowOff>
    </xdr:to>
    <xdr:graphicFrame>
      <xdr:nvGraphicFramePr>
        <xdr:cNvPr id="14" name="Chart 13"/>
        <xdr:cNvGraphicFramePr/>
      </xdr:nvGraphicFramePr>
      <xdr:xfrm>
        <a:off x="21602065" y="9618345"/>
        <a:ext cx="6991985" cy="45548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31</xdr:col>
      <xdr:colOff>0</xdr:colOff>
      <xdr:row>22</xdr:row>
      <xdr:rowOff>0</xdr:rowOff>
    </xdr:from>
    <xdr:to>
      <xdr:col>42</xdr:col>
      <xdr:colOff>97865</xdr:colOff>
      <xdr:row>45</xdr:row>
      <xdr:rowOff>144855</xdr:rowOff>
    </xdr:to>
    <xdr:graphicFrame>
      <xdr:nvGraphicFramePr>
        <xdr:cNvPr id="15" name="Chart 14"/>
        <xdr:cNvGraphicFramePr/>
      </xdr:nvGraphicFramePr>
      <xdr:xfrm>
        <a:off x="21288375" y="4476750"/>
        <a:ext cx="6965315" cy="453580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44</xdr:col>
      <xdr:colOff>0</xdr:colOff>
      <xdr:row>22</xdr:row>
      <xdr:rowOff>0</xdr:rowOff>
    </xdr:from>
    <xdr:to>
      <xdr:col>55</xdr:col>
      <xdr:colOff>269688</xdr:colOff>
      <xdr:row>45</xdr:row>
      <xdr:rowOff>144855</xdr:rowOff>
    </xdr:to>
    <xdr:graphicFrame>
      <xdr:nvGraphicFramePr>
        <xdr:cNvPr id="16" name="Chart 15"/>
        <xdr:cNvGraphicFramePr/>
      </xdr:nvGraphicFramePr>
      <xdr:xfrm>
        <a:off x="29317950" y="4476750"/>
        <a:ext cx="7136765" cy="453580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2</xdr:col>
      <xdr:colOff>0</xdr:colOff>
      <xdr:row>2</xdr:row>
      <xdr:rowOff>0</xdr:rowOff>
    </xdr:from>
    <xdr:to>
      <xdr:col>3</xdr:col>
      <xdr:colOff>9157</xdr:colOff>
      <xdr:row>3</xdr:row>
      <xdr:rowOff>0</xdr:rowOff>
    </xdr:to>
    <xdr:graphicFrame>
      <xdr:nvGraphicFramePr>
        <xdr:cNvPr id="3" name="Chart 2"/>
        <xdr:cNvGraphicFramePr/>
      </xdr:nvGraphicFramePr>
      <xdr:xfrm>
        <a:off x="1200150" y="381000"/>
        <a:ext cx="9667240" cy="48221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50800</xdr:colOff>
      <xdr:row>1</xdr:row>
      <xdr:rowOff>610854</xdr:rowOff>
    </xdr:from>
    <xdr:to>
      <xdr:col>2</xdr:col>
      <xdr:colOff>3175</xdr:colOff>
      <xdr:row>1</xdr:row>
      <xdr:rowOff>3136990</xdr:rowOff>
    </xdr:to>
    <xdr:pic>
      <xdr:nvPicPr>
        <xdr:cNvPr id="3" name="Picture 2"/>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650875" y="800735"/>
          <a:ext cx="4705350" cy="252666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4" Type="http://schemas.openxmlformats.org/officeDocument/2006/relationships/ctrlProp" Target="../ctrlProps/ctrlProp1.xm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5.xml"/><Relationship Id="rId1" Type="http://schemas.openxmlformats.org/officeDocument/2006/relationships/comments" Target="../comments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tabColor rgb="FFFF0000"/>
    <pageSetUpPr fitToPage="1"/>
  </sheetPr>
  <dimension ref="A1:AA102"/>
  <sheetViews>
    <sheetView tabSelected="1" zoomScale="85" zoomScaleNormal="85" workbookViewId="0">
      <selection activeCell="H88" sqref="H88"/>
    </sheetView>
  </sheetViews>
  <sheetFormatPr defaultColWidth="8.85714285714286" defaultRowHeight="15"/>
  <cols>
    <col min="1" max="6" width="8.85714285714286" style="170" customWidth="1"/>
    <col min="7" max="7" width="8.85714285714286" style="171" customWidth="1"/>
    <col min="8" max="8" width="12" style="170" customWidth="1"/>
    <col min="9" max="9" width="4.14285714285714" style="170" customWidth="1"/>
    <col min="10" max="10" width="4.85714285714286" style="170" customWidth="1"/>
    <col min="11" max="20" width="8.85714285714286" style="170" customWidth="1"/>
    <col min="21" max="21" width="8.85714285714286" style="168" customWidth="1"/>
    <col min="22" max="22" width="7.14285714285714" style="170" customWidth="1"/>
    <col min="23" max="26" width="8.85714285714286" style="170" customWidth="1"/>
    <col min="27" max="27" width="1.85714285714286" style="172" customWidth="1"/>
    <col min="28" max="16384" width="8.85714285714286" style="170"/>
  </cols>
  <sheetData>
    <row r="1" ht="46.7" customHeight="1" spans="1:27">
      <c r="A1" s="173"/>
      <c r="B1" s="173"/>
      <c r="C1" s="173"/>
      <c r="D1" s="173"/>
      <c r="E1" s="174" t="s">
        <v>0</v>
      </c>
      <c r="F1" s="173"/>
      <c r="G1" s="175"/>
      <c r="H1" s="173"/>
      <c r="I1" s="173"/>
      <c r="J1" s="173"/>
      <c r="K1" s="173"/>
      <c r="L1" s="173"/>
      <c r="M1" s="173"/>
      <c r="N1" s="173"/>
      <c r="O1" s="173"/>
      <c r="P1" s="173"/>
      <c r="Q1" s="173"/>
      <c r="R1" s="173"/>
      <c r="S1" s="173"/>
      <c r="T1" s="173"/>
      <c r="U1" s="176"/>
      <c r="V1" s="173"/>
      <c r="W1" s="173"/>
      <c r="X1" s="173"/>
      <c r="Y1" s="173"/>
      <c r="Z1" s="173"/>
      <c r="AA1" s="177"/>
    </row>
    <row r="2" s="168" customFormat="1" spans="1:27">
      <c r="A2" s="178"/>
      <c r="B2" s="178"/>
      <c r="C2" s="178"/>
      <c r="D2" s="178"/>
      <c r="E2" s="178"/>
      <c r="F2" s="178"/>
      <c r="G2" s="179"/>
      <c r="H2" s="178"/>
      <c r="I2" s="178"/>
      <c r="J2" s="178"/>
      <c r="K2" s="178"/>
      <c r="L2" s="178"/>
      <c r="M2" s="178"/>
      <c r="N2" s="178"/>
      <c r="O2" s="178"/>
      <c r="P2" s="178"/>
      <c r="Q2" s="178"/>
      <c r="R2" s="178"/>
      <c r="S2" s="178"/>
      <c r="T2" s="178"/>
      <c r="U2" s="178"/>
      <c r="V2" s="178"/>
      <c r="W2" s="178"/>
      <c r="X2" s="178"/>
      <c r="Y2" s="178"/>
      <c r="Z2" s="178"/>
      <c r="AA2" s="180"/>
    </row>
    <row r="3" s="168" customFormat="1" spans="1:27">
      <c r="A3" s="181" t="s">
        <v>1</v>
      </c>
      <c r="B3" s="178"/>
      <c r="C3" s="178"/>
      <c r="D3" s="178"/>
      <c r="E3" s="182"/>
      <c r="F3" s="271" t="s">
        <v>2</v>
      </c>
      <c r="G3" s="179"/>
      <c r="H3" s="178"/>
      <c r="I3" s="178"/>
      <c r="J3" s="178"/>
      <c r="K3" s="178"/>
      <c r="L3" s="178"/>
      <c r="M3" s="178"/>
      <c r="N3" s="178"/>
      <c r="O3" s="183" t="s">
        <v>3</v>
      </c>
      <c r="P3" s="178"/>
      <c r="Q3" s="178"/>
      <c r="R3" s="178"/>
      <c r="S3" s="178"/>
      <c r="T3" s="178"/>
      <c r="U3" s="178"/>
      <c r="V3" s="178"/>
      <c r="W3" s="178"/>
      <c r="X3" s="178"/>
      <c r="Y3" s="178"/>
      <c r="Z3" s="178"/>
      <c r="AA3" s="180"/>
    </row>
    <row r="4" s="169" customFormat="1" spans="1:27">
      <c r="A4" s="184"/>
      <c r="B4" s="184"/>
      <c r="C4" s="184"/>
      <c r="D4" s="184"/>
      <c r="E4" s="184"/>
      <c r="F4" s="184"/>
      <c r="G4" s="185"/>
      <c r="H4" s="184"/>
      <c r="I4" s="184"/>
      <c r="J4" s="184"/>
      <c r="K4" s="184"/>
      <c r="L4" s="184"/>
      <c r="M4" s="184"/>
      <c r="N4" s="184"/>
      <c r="O4" s="184"/>
      <c r="P4" s="184"/>
      <c r="Q4" s="184"/>
      <c r="R4" s="184"/>
      <c r="S4" s="184"/>
      <c r="T4" s="184"/>
      <c r="U4" s="184"/>
      <c r="V4" s="184"/>
      <c r="W4" s="184"/>
      <c r="X4" s="184"/>
      <c r="Y4" s="184"/>
      <c r="Z4" s="184"/>
      <c r="AA4" s="186"/>
    </row>
    <row r="5" spans="1:27">
      <c r="A5" s="187"/>
      <c r="B5" s="187"/>
      <c r="C5" s="187"/>
      <c r="D5" s="187"/>
      <c r="E5" s="187"/>
      <c r="F5" s="187"/>
      <c r="G5" s="188"/>
      <c r="H5" s="187"/>
      <c r="I5" s="187"/>
      <c r="J5" s="187"/>
      <c r="K5" s="187"/>
      <c r="L5" s="187"/>
      <c r="M5" s="187"/>
      <c r="N5" s="187"/>
      <c r="O5" s="187" t="str">
        <f>CONCATENATE("Rev ",Licenses!$B$5)</f>
        <v>Rev 1.0.0</v>
      </c>
      <c r="P5" s="189" t="s">
        <v>4</v>
      </c>
      <c r="Q5" s="187"/>
      <c r="R5" s="187"/>
      <c r="S5" s="187"/>
      <c r="T5" s="187"/>
      <c r="U5" s="190"/>
      <c r="V5" s="187"/>
      <c r="W5" s="187"/>
      <c r="X5" s="187"/>
      <c r="Y5" s="187"/>
      <c r="Z5" s="187"/>
      <c r="AA5" s="177"/>
    </row>
    <row r="6" ht="15.75" spans="1:27">
      <c r="A6" s="191" t="s">
        <v>5</v>
      </c>
      <c r="B6" s="187"/>
      <c r="C6" s="187"/>
      <c r="D6" s="187"/>
      <c r="E6" s="187"/>
      <c r="F6" s="187"/>
      <c r="G6" s="188"/>
      <c r="H6" s="187"/>
      <c r="I6" s="187"/>
      <c r="J6" s="187"/>
      <c r="K6" s="187"/>
      <c r="L6" s="187"/>
      <c r="M6" s="187"/>
      <c r="N6" s="187"/>
      <c r="O6" s="187"/>
      <c r="P6" s="187"/>
      <c r="Q6" s="187"/>
      <c r="R6" s="187"/>
      <c r="S6" s="187"/>
      <c r="T6" s="187"/>
      <c r="U6" s="190"/>
      <c r="V6" s="187"/>
      <c r="W6" s="187"/>
      <c r="X6" s="187"/>
      <c r="Y6" s="187"/>
      <c r="Z6" s="187"/>
      <c r="AA6" s="177"/>
    </row>
    <row r="7" ht="16.5" spans="1:27">
      <c r="A7" s="192"/>
      <c r="B7" s="193"/>
      <c r="C7" s="193"/>
      <c r="D7" s="193"/>
      <c r="E7" s="193"/>
      <c r="F7" s="193"/>
      <c r="G7" s="194" t="s">
        <v>6</v>
      </c>
      <c r="H7" s="195">
        <v>3</v>
      </c>
      <c r="I7" s="196" t="s">
        <v>7</v>
      </c>
      <c r="J7" s="187"/>
      <c r="K7" s="187"/>
      <c r="L7" s="187"/>
      <c r="M7" s="187"/>
      <c r="N7" s="187"/>
      <c r="O7" s="187"/>
      <c r="P7" s="187"/>
      <c r="Q7" s="187"/>
      <c r="R7" s="187"/>
      <c r="S7" s="187"/>
      <c r="T7" s="187"/>
      <c r="U7" s="190"/>
      <c r="V7" s="187"/>
      <c r="W7" s="187"/>
      <c r="X7" s="187"/>
      <c r="Y7" s="187"/>
      <c r="Z7" s="187"/>
      <c r="AA7" s="177"/>
    </row>
    <row r="8" ht="16.5" spans="1:27">
      <c r="A8" s="197"/>
      <c r="B8" s="190"/>
      <c r="C8" s="190"/>
      <c r="D8" s="190"/>
      <c r="E8" s="190"/>
      <c r="F8" s="190"/>
      <c r="G8" s="198" t="s">
        <v>8</v>
      </c>
      <c r="H8" s="199">
        <v>3.7</v>
      </c>
      <c r="I8" s="200" t="s">
        <v>7</v>
      </c>
      <c r="J8" s="187"/>
      <c r="K8" s="187"/>
      <c r="L8" s="187"/>
      <c r="M8" s="187"/>
      <c r="N8" s="187"/>
      <c r="O8" s="187"/>
      <c r="P8" s="187"/>
      <c r="Q8" s="187"/>
      <c r="R8" s="187"/>
      <c r="S8" s="187"/>
      <c r="T8" s="187"/>
      <c r="U8" s="190"/>
      <c r="V8" s="187"/>
      <c r="W8" s="187"/>
      <c r="X8" s="187"/>
      <c r="Y8" s="187"/>
      <c r="Z8" s="187"/>
      <c r="AA8" s="177"/>
    </row>
    <row r="9" ht="16.5" spans="1:27">
      <c r="A9" s="197"/>
      <c r="B9" s="190"/>
      <c r="C9" s="190"/>
      <c r="D9" s="190"/>
      <c r="E9" s="190"/>
      <c r="F9" s="190"/>
      <c r="G9" s="198" t="s">
        <v>9</v>
      </c>
      <c r="H9" s="199">
        <f>4.2*3</f>
        <v>12.6</v>
      </c>
      <c r="I9" s="200" t="s">
        <v>7</v>
      </c>
      <c r="J9" s="187"/>
      <c r="K9" s="187"/>
      <c r="L9" s="187"/>
      <c r="M9" s="187"/>
      <c r="N9" s="187"/>
      <c r="O9" s="187"/>
      <c r="P9" s="187"/>
      <c r="Q9" s="187"/>
      <c r="R9" s="187"/>
      <c r="S9" s="187"/>
      <c r="T9" s="187"/>
      <c r="U9" s="190"/>
      <c r="V9" s="187"/>
      <c r="W9" s="187"/>
      <c r="X9" s="187"/>
      <c r="Y9" s="187"/>
      <c r="Z9" s="187"/>
      <c r="AA9" s="177"/>
    </row>
    <row r="10" ht="16.5" spans="1:27">
      <c r="A10" s="197"/>
      <c r="B10" s="190"/>
      <c r="C10" s="190"/>
      <c r="D10" s="190"/>
      <c r="E10" s="190"/>
      <c r="F10" s="190"/>
      <c r="G10" s="198" t="s">
        <v>10</v>
      </c>
      <c r="H10" s="199">
        <v>3.7</v>
      </c>
      <c r="I10" s="200" t="s">
        <v>7</v>
      </c>
      <c r="J10" s="187"/>
      <c r="K10" s="187"/>
      <c r="L10" s="187"/>
      <c r="M10" s="187"/>
      <c r="N10" s="187"/>
      <c r="O10" s="187"/>
      <c r="P10" s="187"/>
      <c r="Q10" s="187"/>
      <c r="R10" s="187"/>
      <c r="S10" s="187"/>
      <c r="T10" s="187"/>
      <c r="U10" s="190"/>
      <c r="V10" s="187"/>
      <c r="W10" s="187"/>
      <c r="X10" s="187"/>
      <c r="Y10" s="187"/>
      <c r="Z10" s="187"/>
      <c r="AA10" s="177"/>
    </row>
    <row r="11" ht="16.5" spans="1:27">
      <c r="A11" s="197"/>
      <c r="B11" s="190"/>
      <c r="C11" s="190"/>
      <c r="D11" s="190"/>
      <c r="E11" s="190"/>
      <c r="F11" s="190"/>
      <c r="G11" s="198" t="s">
        <v>11</v>
      </c>
      <c r="H11" s="199">
        <v>1</v>
      </c>
      <c r="I11" s="200" t="s">
        <v>12</v>
      </c>
      <c r="J11" s="187"/>
      <c r="K11" s="187"/>
      <c r="L11" s="187"/>
      <c r="M11" s="187"/>
      <c r="N11" s="187"/>
      <c r="O11" s="187"/>
      <c r="P11" s="187"/>
      <c r="Q11" s="187"/>
      <c r="R11" s="187"/>
      <c r="S11" s="187"/>
      <c r="T11" s="187"/>
      <c r="U11" s="190"/>
      <c r="V11" s="187"/>
      <c r="W11" s="187"/>
      <c r="X11" s="187"/>
      <c r="Y11" s="187"/>
      <c r="Z11" s="187"/>
      <c r="AA11" s="177"/>
    </row>
    <row r="12" ht="16.5" spans="1:27">
      <c r="A12" s="197"/>
      <c r="B12" s="190"/>
      <c r="C12" s="190"/>
      <c r="D12" s="190"/>
      <c r="E12" s="190"/>
      <c r="F12" s="190"/>
      <c r="G12" s="198" t="s">
        <v>13</v>
      </c>
      <c r="H12" s="199">
        <v>700</v>
      </c>
      <c r="I12" s="200" t="s">
        <v>14</v>
      </c>
      <c r="J12" s="187"/>
      <c r="K12" s="187"/>
      <c r="L12" s="187"/>
      <c r="M12" s="187"/>
      <c r="N12" s="187"/>
      <c r="O12" s="187"/>
      <c r="P12" s="187"/>
      <c r="Q12" s="187"/>
      <c r="R12" s="187"/>
      <c r="S12" s="187"/>
      <c r="T12" s="187"/>
      <c r="U12" s="190"/>
      <c r="V12" s="187"/>
      <c r="W12" s="187"/>
      <c r="X12" s="187"/>
      <c r="Y12" s="187"/>
      <c r="Z12" s="187"/>
      <c r="AA12" s="177"/>
    </row>
    <row r="13" ht="16.5" spans="1:27">
      <c r="A13" s="197"/>
      <c r="B13" s="190"/>
      <c r="C13" s="190"/>
      <c r="D13" s="190"/>
      <c r="E13" s="190"/>
      <c r="F13" s="190"/>
      <c r="G13" s="198" t="s">
        <v>15</v>
      </c>
      <c r="H13" s="201">
        <f>RT/1000</f>
        <v>19.4392012767176</v>
      </c>
      <c r="I13" s="200" t="s">
        <v>16</v>
      </c>
      <c r="J13" s="187"/>
      <c r="K13" s="187"/>
      <c r="L13" s="187"/>
      <c r="M13" s="187"/>
      <c r="N13" s="187"/>
      <c r="O13" s="187"/>
      <c r="P13" s="187"/>
      <c r="Q13" s="187"/>
      <c r="R13" s="187"/>
      <c r="S13" s="187"/>
      <c r="T13" s="187"/>
      <c r="U13" s="190"/>
      <c r="V13" s="187"/>
      <c r="W13" s="187"/>
      <c r="X13" s="187"/>
      <c r="Y13" s="187"/>
      <c r="Z13" s="187"/>
      <c r="AA13" s="177"/>
    </row>
    <row r="14" ht="16.5" spans="1:27">
      <c r="A14" s="197"/>
      <c r="B14" s="190"/>
      <c r="C14" s="190"/>
      <c r="D14" s="190"/>
      <c r="E14" s="190"/>
      <c r="F14" s="190"/>
      <c r="G14" s="198" t="s">
        <v>17</v>
      </c>
      <c r="H14" s="202">
        <f>POUT</f>
        <v>3.7</v>
      </c>
      <c r="I14" s="200" t="s">
        <v>18</v>
      </c>
      <c r="J14" s="187"/>
      <c r="K14" s="187"/>
      <c r="L14" s="187"/>
      <c r="M14" s="187"/>
      <c r="N14" s="187"/>
      <c r="O14" s="187"/>
      <c r="P14" s="187"/>
      <c r="Q14" s="187"/>
      <c r="R14" s="187"/>
      <c r="S14" s="187"/>
      <c r="T14" s="187"/>
      <c r="U14" s="190"/>
      <c r="V14" s="187"/>
      <c r="W14" s="187"/>
      <c r="X14" s="187"/>
      <c r="Y14" s="187"/>
      <c r="Z14" s="187"/>
      <c r="AA14" s="177"/>
    </row>
    <row r="15" ht="16.5" spans="1:27">
      <c r="A15" s="203"/>
      <c r="B15" s="204"/>
      <c r="C15" s="204"/>
      <c r="D15" s="204"/>
      <c r="E15" s="204"/>
      <c r="F15" s="190"/>
      <c r="G15" s="205" t="s">
        <v>19</v>
      </c>
      <c r="H15" s="206">
        <f>Dc_max_IC*100</f>
        <v>97</v>
      </c>
      <c r="I15" s="200" t="s">
        <v>20</v>
      </c>
      <c r="J15" s="187"/>
      <c r="K15" s="187"/>
      <c r="L15" s="187"/>
      <c r="M15" s="187"/>
      <c r="N15" s="187"/>
      <c r="O15" s="187"/>
      <c r="P15" s="187"/>
      <c r="Q15" s="187"/>
      <c r="R15" s="187"/>
      <c r="S15" s="187"/>
      <c r="T15" s="187"/>
      <c r="U15" s="190"/>
      <c r="V15" s="187"/>
      <c r="W15" s="187"/>
      <c r="X15" s="187"/>
      <c r="Y15" s="187"/>
      <c r="Z15" s="187"/>
      <c r="AA15" s="177"/>
    </row>
    <row r="16" ht="17.25" spans="1:27">
      <c r="A16" s="207"/>
      <c r="B16" s="208"/>
      <c r="C16" s="208"/>
      <c r="D16" s="208"/>
      <c r="E16" s="208"/>
      <c r="F16" s="209"/>
      <c r="G16" s="210" t="s">
        <v>21</v>
      </c>
      <c r="H16" s="211">
        <f>Variable_Management!B19*100</f>
        <v>55.2238805970149</v>
      </c>
      <c r="I16" s="212" t="s">
        <v>20</v>
      </c>
      <c r="J16" s="187"/>
      <c r="K16" s="187"/>
      <c r="L16" s="187"/>
      <c r="M16" s="187"/>
      <c r="N16" s="187"/>
      <c r="O16" s="187"/>
      <c r="P16" s="187"/>
      <c r="Q16" s="187"/>
      <c r="R16" s="187"/>
      <c r="S16" s="187"/>
      <c r="T16" s="187"/>
      <c r="U16" s="190"/>
      <c r="V16" s="187"/>
      <c r="W16" s="187"/>
      <c r="X16" s="187"/>
      <c r="Y16" s="187"/>
      <c r="Z16" s="187"/>
      <c r="AA16" s="177"/>
    </row>
    <row r="17" spans="1:27">
      <c r="A17" s="204"/>
      <c r="B17" s="213"/>
      <c r="C17" s="213"/>
      <c r="D17" s="213"/>
      <c r="E17" s="204"/>
      <c r="F17" s="187"/>
      <c r="G17" s="188"/>
      <c r="H17" s="187"/>
      <c r="I17" s="187"/>
      <c r="J17" s="187"/>
      <c r="K17" s="187"/>
      <c r="L17" s="187"/>
      <c r="M17" s="187"/>
      <c r="N17" s="187"/>
      <c r="O17" s="187"/>
      <c r="P17" s="187"/>
      <c r="Q17" s="187"/>
      <c r="R17" s="187"/>
      <c r="S17" s="187"/>
      <c r="T17" s="187"/>
      <c r="U17" s="190"/>
      <c r="V17" s="187"/>
      <c r="W17" s="187"/>
      <c r="X17" s="187"/>
      <c r="Y17" s="187"/>
      <c r="Z17" s="187"/>
      <c r="AA17" s="177"/>
    </row>
    <row r="18" ht="15.75" spans="1:27">
      <c r="A18" s="214" t="s">
        <v>22</v>
      </c>
      <c r="B18" s="213"/>
      <c r="C18" s="213"/>
      <c r="D18" s="213"/>
      <c r="E18" s="204"/>
      <c r="F18" s="187"/>
      <c r="G18" s="188"/>
      <c r="H18" s="187"/>
      <c r="I18" s="187"/>
      <c r="J18" s="187"/>
      <c r="K18" s="187"/>
      <c r="L18" s="187"/>
      <c r="M18" s="187"/>
      <c r="N18" s="187"/>
      <c r="O18" s="187"/>
      <c r="P18" s="187"/>
      <c r="Q18" s="187"/>
      <c r="R18" s="187"/>
      <c r="S18" s="187"/>
      <c r="T18" s="187"/>
      <c r="U18" s="190"/>
      <c r="V18" s="187"/>
      <c r="W18" s="187"/>
      <c r="X18" s="187"/>
      <c r="Y18" s="187"/>
      <c r="Z18" s="187"/>
      <c r="AA18" s="177"/>
    </row>
    <row r="19" spans="1:27">
      <c r="A19" s="215"/>
      <c r="B19" s="216"/>
      <c r="C19" s="216"/>
      <c r="D19" s="216"/>
      <c r="E19" s="216"/>
      <c r="F19" s="193"/>
      <c r="G19" s="217" t="s">
        <v>23</v>
      </c>
      <c r="H19" s="218" t="str">
        <f>IF(Variable_Management!B21=0,"CCM","DCM")</f>
        <v>CCM</v>
      </c>
      <c r="I19" s="196"/>
      <c r="J19" s="187"/>
      <c r="K19" s="187"/>
      <c r="L19" s="187"/>
      <c r="M19" s="187"/>
      <c r="N19" s="187"/>
      <c r="O19" s="187"/>
      <c r="P19" s="187"/>
      <c r="Q19" s="187"/>
      <c r="R19" s="187"/>
      <c r="S19" s="187"/>
      <c r="T19" s="187"/>
      <c r="U19" s="190"/>
      <c r="V19" s="187"/>
      <c r="W19" s="187"/>
      <c r="X19" s="187"/>
      <c r="Y19" s="187"/>
      <c r="Z19" s="187"/>
      <c r="AA19" s="177"/>
    </row>
    <row r="20" ht="16.5" spans="1:27">
      <c r="A20" s="203"/>
      <c r="B20" s="204"/>
      <c r="C20" s="204"/>
      <c r="D20" s="204"/>
      <c r="E20" s="204"/>
      <c r="F20" s="190"/>
      <c r="G20" s="198" t="s">
        <v>24</v>
      </c>
      <c r="H20" s="199">
        <v>60</v>
      </c>
      <c r="I20" s="200" t="s">
        <v>20</v>
      </c>
      <c r="J20" s="187"/>
      <c r="K20" s="187"/>
      <c r="L20" s="187"/>
      <c r="M20" s="187"/>
      <c r="N20" s="187"/>
      <c r="O20" s="187"/>
      <c r="P20" s="187"/>
      <c r="Q20" s="187"/>
      <c r="R20" s="187"/>
      <c r="S20" s="187"/>
      <c r="T20" s="187"/>
      <c r="U20" s="190"/>
      <c r="V20" s="187"/>
      <c r="W20" s="187"/>
      <c r="X20" s="187"/>
      <c r="Y20" s="187"/>
      <c r="Z20" s="187"/>
      <c r="AA20" s="177"/>
    </row>
    <row r="21" ht="16.5" spans="1:27">
      <c r="A21" s="197"/>
      <c r="B21" s="190"/>
      <c r="C21" s="190"/>
      <c r="D21" s="190"/>
      <c r="E21" s="190"/>
      <c r="F21" s="190"/>
      <c r="G21" s="198" t="s">
        <v>25</v>
      </c>
      <c r="H21" s="219">
        <f>Variable_Management!B38*10^6</f>
        <v>2.20238095238095</v>
      </c>
      <c r="I21" s="200" t="s">
        <v>26</v>
      </c>
      <c r="J21" s="187"/>
      <c r="K21" s="187"/>
      <c r="L21" s="187"/>
      <c r="M21" s="187"/>
      <c r="N21" s="187"/>
      <c r="O21" s="187"/>
      <c r="P21" s="187"/>
      <c r="Q21" s="187"/>
      <c r="R21" s="187"/>
      <c r="S21" s="187"/>
      <c r="T21" s="187"/>
      <c r="U21" s="190"/>
      <c r="V21" s="187"/>
      <c r="W21" s="187"/>
      <c r="X21" s="187"/>
      <c r="Y21" s="187"/>
      <c r="Z21" s="187"/>
      <c r="AA21" s="177"/>
    </row>
    <row r="22" ht="16.5" spans="1:27">
      <c r="A22" s="197"/>
      <c r="B22" s="190"/>
      <c r="C22" s="190"/>
      <c r="D22" s="190"/>
      <c r="E22" s="190"/>
      <c r="F22" s="190"/>
      <c r="G22" s="198" t="s">
        <v>27</v>
      </c>
      <c r="H22" s="199">
        <v>10</v>
      </c>
      <c r="I22" s="200" t="s">
        <v>26</v>
      </c>
      <c r="J22" s="187"/>
      <c r="K22" s="187"/>
      <c r="L22" s="187"/>
      <c r="M22" s="187"/>
      <c r="N22" s="187"/>
      <c r="O22" s="187"/>
      <c r="P22" s="187"/>
      <c r="Q22" s="187"/>
      <c r="R22" s="187"/>
      <c r="S22" s="187"/>
      <c r="T22" s="187"/>
      <c r="U22" s="190"/>
      <c r="V22" s="187"/>
      <c r="W22" s="187"/>
      <c r="X22" s="187"/>
      <c r="Y22" s="187"/>
      <c r="Z22" s="187"/>
      <c r="AA22" s="177"/>
    </row>
    <row r="23" ht="17.25" spans="1:27">
      <c r="A23" s="220"/>
      <c r="B23" s="209"/>
      <c r="C23" s="209"/>
      <c r="D23" s="209"/>
      <c r="E23" s="209"/>
      <c r="F23" s="209"/>
      <c r="G23" s="221" t="s">
        <v>28</v>
      </c>
      <c r="H23" s="222">
        <f>ISW_peak_VIN_min</f>
        <v>2.47000710732054</v>
      </c>
      <c r="I23" s="212" t="s">
        <v>12</v>
      </c>
      <c r="J23" s="187"/>
      <c r="K23" s="187"/>
      <c r="L23" s="187"/>
      <c r="M23" s="187"/>
      <c r="N23" s="187"/>
      <c r="O23" s="187"/>
      <c r="P23" s="187"/>
      <c r="Q23" s="187"/>
      <c r="R23" s="187"/>
      <c r="S23" s="187"/>
      <c r="T23" s="187"/>
      <c r="U23" s="190"/>
      <c r="V23" s="187"/>
      <c r="W23" s="187"/>
      <c r="X23" s="187"/>
      <c r="Y23" s="187"/>
      <c r="Z23" s="187"/>
      <c r="AA23" s="177"/>
    </row>
    <row r="24" spans="1:27">
      <c r="A24" s="187"/>
      <c r="B24" s="187"/>
      <c r="C24" s="187"/>
      <c r="D24" s="187"/>
      <c r="E24" s="187"/>
      <c r="F24" s="187"/>
      <c r="G24" s="188"/>
      <c r="H24" s="187"/>
      <c r="I24" s="187"/>
      <c r="J24" s="187"/>
      <c r="K24" s="187"/>
      <c r="L24" s="187"/>
      <c r="M24" s="187"/>
      <c r="N24" s="187"/>
      <c r="O24" s="187"/>
      <c r="P24" s="187"/>
      <c r="Q24" s="187"/>
      <c r="R24" s="187"/>
      <c r="S24" s="187"/>
      <c r="T24" s="187"/>
      <c r="U24" s="190"/>
      <c r="V24" s="187"/>
      <c r="W24" s="187"/>
      <c r="X24" s="187"/>
      <c r="Y24" s="187"/>
      <c r="Z24" s="187"/>
      <c r="AA24" s="177"/>
    </row>
    <row r="25" ht="15.75" spans="1:27">
      <c r="A25" s="214" t="s">
        <v>29</v>
      </c>
      <c r="B25" s="187"/>
      <c r="C25" s="187"/>
      <c r="D25" s="187"/>
      <c r="E25" s="187"/>
      <c r="F25" s="187"/>
      <c r="G25" s="188"/>
      <c r="H25" s="187"/>
      <c r="I25" s="187"/>
      <c r="J25" s="187"/>
      <c r="K25" s="187"/>
      <c r="L25" s="187"/>
      <c r="M25" s="187"/>
      <c r="N25" s="187"/>
      <c r="O25" s="187"/>
      <c r="P25" s="187"/>
      <c r="Q25" s="187"/>
      <c r="R25" s="187"/>
      <c r="S25" s="187"/>
      <c r="T25" s="187"/>
      <c r="U25" s="190"/>
      <c r="V25" s="187"/>
      <c r="W25" s="187"/>
      <c r="X25" s="187"/>
      <c r="Y25" s="187"/>
      <c r="Z25" s="187"/>
      <c r="AA25" s="177"/>
    </row>
    <row r="26" spans="1:27">
      <c r="A26" s="192"/>
      <c r="B26" s="193"/>
      <c r="C26" s="193"/>
      <c r="D26" s="193"/>
      <c r="E26" s="193"/>
      <c r="F26" s="193"/>
      <c r="G26" s="194" t="s">
        <v>30</v>
      </c>
      <c r="H26" s="195">
        <v>30</v>
      </c>
      <c r="I26" s="196" t="s">
        <v>20</v>
      </c>
      <c r="J26" s="187"/>
      <c r="K26" s="187"/>
      <c r="L26" s="187"/>
      <c r="M26" s="187"/>
      <c r="N26" s="187"/>
      <c r="O26" s="187"/>
      <c r="P26" s="187"/>
      <c r="Q26" s="187"/>
      <c r="R26" s="187"/>
      <c r="S26" s="187"/>
      <c r="T26" s="187"/>
      <c r="U26" s="190"/>
      <c r="V26" s="187"/>
      <c r="W26" s="187"/>
      <c r="X26" s="187"/>
      <c r="Y26" s="187"/>
      <c r="Z26" s="187"/>
      <c r="AA26" s="177"/>
    </row>
    <row r="27" ht="18.75" spans="1:27">
      <c r="A27" s="197"/>
      <c r="B27" s="190"/>
      <c r="C27" s="190"/>
      <c r="D27" s="190"/>
      <c r="E27" s="190"/>
      <c r="F27" s="190"/>
      <c r="G27" s="223" t="s">
        <v>31</v>
      </c>
      <c r="H27" s="201">
        <f>Ipk_selected</f>
        <v>3.2110092395167</v>
      </c>
      <c r="I27" s="200" t="s">
        <v>12</v>
      </c>
      <c r="J27" s="187"/>
      <c r="K27" s="187"/>
      <c r="L27" s="187"/>
      <c r="M27" s="187"/>
      <c r="N27" s="187"/>
      <c r="O27" s="187"/>
      <c r="P27" s="187"/>
      <c r="Q27" s="187"/>
      <c r="R27" s="187"/>
      <c r="S27" s="187"/>
      <c r="T27" s="187"/>
      <c r="U27" s="190"/>
      <c r="V27" s="187"/>
      <c r="W27" s="187"/>
      <c r="X27" s="187"/>
      <c r="Y27" s="187"/>
      <c r="Z27" s="187"/>
      <c r="AA27" s="177"/>
    </row>
    <row r="28" ht="18.75" spans="1:27">
      <c r="A28" s="197"/>
      <c r="B28" s="190"/>
      <c r="C28" s="190"/>
      <c r="D28" s="190"/>
      <c r="E28" s="190"/>
      <c r="F28" s="190"/>
      <c r="G28" s="223" t="s">
        <v>32</v>
      </c>
      <c r="H28" s="201">
        <f>Variable_Management!B115*1000</f>
        <v>48.582856156303</v>
      </c>
      <c r="I28" s="200" t="s">
        <v>33</v>
      </c>
      <c r="J28" s="187"/>
      <c r="K28" s="187"/>
      <c r="L28" s="187"/>
      <c r="M28" s="187"/>
      <c r="N28" s="187"/>
      <c r="O28" s="187"/>
      <c r="P28" s="187"/>
      <c r="Q28" s="187"/>
      <c r="R28" s="187"/>
      <c r="S28" s="187"/>
      <c r="T28" s="187"/>
      <c r="U28" s="190"/>
      <c r="V28" s="187"/>
      <c r="W28" s="187"/>
      <c r="X28" s="187"/>
      <c r="Y28" s="187"/>
      <c r="Z28" s="187"/>
      <c r="AA28" s="177"/>
    </row>
    <row r="29" ht="18.75" spans="1:27">
      <c r="A29" s="197"/>
      <c r="B29" s="190"/>
      <c r="C29" s="190"/>
      <c r="D29" s="190"/>
      <c r="E29" s="190"/>
      <c r="F29" s="190"/>
      <c r="G29" s="223" t="s">
        <v>34</v>
      </c>
      <c r="H29" s="224">
        <f>Variable_Management!B116</f>
        <v>0</v>
      </c>
      <c r="I29" s="225" t="s">
        <v>35</v>
      </c>
      <c r="J29" s="187"/>
      <c r="K29" s="187"/>
      <c r="L29" s="187"/>
      <c r="M29" s="187"/>
      <c r="N29" s="187"/>
      <c r="O29" s="187"/>
      <c r="P29" s="187"/>
      <c r="Q29" s="187"/>
      <c r="R29" s="187"/>
      <c r="S29" s="187"/>
      <c r="T29" s="187"/>
      <c r="U29" s="190"/>
      <c r="V29" s="187"/>
      <c r="W29" s="187"/>
      <c r="X29" s="187"/>
      <c r="Y29" s="187"/>
      <c r="Z29" s="187"/>
      <c r="AA29" s="177"/>
    </row>
    <row r="30" ht="18.75" spans="1:27">
      <c r="A30" s="197"/>
      <c r="B30" s="190"/>
      <c r="C30" s="190"/>
      <c r="D30" s="190"/>
      <c r="E30" s="190"/>
      <c r="F30" s="190"/>
      <c r="G30" s="223" t="s">
        <v>36</v>
      </c>
      <c r="H30" s="199">
        <v>10</v>
      </c>
      <c r="I30" s="200" t="s">
        <v>33</v>
      </c>
      <c r="J30" s="187"/>
      <c r="K30" s="187"/>
      <c r="L30" s="187"/>
      <c r="M30" s="187"/>
      <c r="N30" s="187"/>
      <c r="O30" s="187"/>
      <c r="P30" s="187"/>
      <c r="Q30" s="187"/>
      <c r="R30" s="187"/>
      <c r="S30" s="187"/>
      <c r="T30" s="187"/>
      <c r="U30" s="190"/>
      <c r="V30" s="187"/>
      <c r="W30" s="187"/>
      <c r="X30" s="187"/>
      <c r="Y30" s="187"/>
      <c r="Z30" s="187"/>
      <c r="AA30" s="177"/>
    </row>
    <row r="31" ht="18.75" spans="1:27">
      <c r="A31" s="197"/>
      <c r="B31" s="190"/>
      <c r="C31" s="190"/>
      <c r="D31" s="190"/>
      <c r="E31" s="190"/>
      <c r="F31" s="190"/>
      <c r="G31" s="223" t="s">
        <v>37</v>
      </c>
      <c r="H31" s="199">
        <v>0</v>
      </c>
      <c r="I31" s="225" t="s">
        <v>35</v>
      </c>
      <c r="J31" s="187"/>
      <c r="K31" s="187"/>
      <c r="L31" s="187"/>
      <c r="M31" s="187"/>
      <c r="N31" s="187"/>
      <c r="O31" s="187"/>
      <c r="P31" s="187"/>
      <c r="Q31" s="187"/>
      <c r="R31" s="187"/>
      <c r="S31" s="187"/>
      <c r="T31" s="187"/>
      <c r="U31" s="190"/>
      <c r="V31" s="187"/>
      <c r="W31" s="187"/>
      <c r="X31" s="187"/>
      <c r="Y31" s="187"/>
      <c r="Z31" s="187"/>
      <c r="AA31" s="177"/>
    </row>
    <row r="32" ht="15.75" spans="1:27">
      <c r="A32" s="220"/>
      <c r="B32" s="209"/>
      <c r="C32" s="209"/>
      <c r="D32" s="209"/>
      <c r="E32" s="209"/>
      <c r="F32" s="209"/>
      <c r="G32" s="226" t="s">
        <v>38</v>
      </c>
      <c r="H32" s="227">
        <f>IL_pk_max</f>
        <v>15.6</v>
      </c>
      <c r="I32" s="228" t="s">
        <v>12</v>
      </c>
      <c r="J32" s="187"/>
      <c r="K32" s="187"/>
      <c r="L32" s="187"/>
      <c r="M32" s="187"/>
      <c r="N32" s="187"/>
      <c r="O32" s="187"/>
      <c r="P32" s="187"/>
      <c r="Q32" s="187"/>
      <c r="R32" s="187"/>
      <c r="S32" s="187"/>
      <c r="T32" s="187"/>
      <c r="U32" s="190"/>
      <c r="V32" s="187"/>
      <c r="W32" s="187"/>
      <c r="X32" s="187"/>
      <c r="Y32" s="187"/>
      <c r="Z32" s="187"/>
      <c r="AA32" s="177"/>
    </row>
    <row r="33" spans="1:27">
      <c r="A33" s="187"/>
      <c r="B33" s="187"/>
      <c r="C33" s="187"/>
      <c r="D33" s="187"/>
      <c r="E33" s="187"/>
      <c r="F33" s="187"/>
      <c r="G33" s="188"/>
      <c r="H33" s="187"/>
      <c r="I33" s="187"/>
      <c r="J33" s="187"/>
      <c r="K33" s="187"/>
      <c r="L33" s="187"/>
      <c r="M33" s="187"/>
      <c r="N33" s="187"/>
      <c r="O33" s="187"/>
      <c r="P33" s="187"/>
      <c r="Q33" s="187"/>
      <c r="R33" s="187"/>
      <c r="S33" s="187"/>
      <c r="T33" s="187"/>
      <c r="U33" s="190"/>
      <c r="V33" s="187"/>
      <c r="W33" s="187"/>
      <c r="X33" s="187"/>
      <c r="Y33" s="187"/>
      <c r="Z33" s="187"/>
      <c r="AA33" s="177"/>
    </row>
    <row r="34" ht="19.5" spans="1:27">
      <c r="A34" s="214" t="s">
        <v>39</v>
      </c>
      <c r="B34" s="187"/>
      <c r="C34" s="187"/>
      <c r="D34" s="187"/>
      <c r="E34" s="187"/>
      <c r="F34" s="187"/>
      <c r="G34" s="188"/>
      <c r="H34" s="187"/>
      <c r="I34" s="187"/>
      <c r="J34" s="187"/>
      <c r="K34" s="187"/>
      <c r="L34" s="187"/>
      <c r="M34" s="187"/>
      <c r="N34" s="187"/>
      <c r="O34" s="187"/>
      <c r="P34" s="187"/>
      <c r="Q34" s="187"/>
      <c r="R34" s="187"/>
      <c r="S34" s="187"/>
      <c r="T34" s="187"/>
      <c r="U34" s="190"/>
      <c r="V34" s="187"/>
      <c r="W34" s="187"/>
      <c r="X34" s="187"/>
      <c r="Y34" s="187"/>
      <c r="Z34" s="187"/>
      <c r="AA34" s="177"/>
    </row>
    <row r="35" ht="18.75" spans="1:27">
      <c r="A35" s="192"/>
      <c r="B35" s="193"/>
      <c r="C35" s="193"/>
      <c r="D35" s="193"/>
      <c r="E35" s="193"/>
      <c r="F35" s="193"/>
      <c r="G35" s="229" t="s">
        <v>40</v>
      </c>
      <c r="H35" s="230">
        <f>Cac_min*(10^6)</f>
        <v>1.2522421904085</v>
      </c>
      <c r="I35" s="196" t="s">
        <v>41</v>
      </c>
      <c r="J35" s="187"/>
      <c r="K35" s="187"/>
      <c r="L35" s="187"/>
      <c r="M35" s="187"/>
      <c r="N35" s="187"/>
      <c r="O35" s="187"/>
      <c r="P35" s="187"/>
      <c r="Q35" s="187"/>
      <c r="R35" s="187"/>
      <c r="S35" s="187"/>
      <c r="T35" s="187"/>
      <c r="U35" s="190"/>
      <c r="V35" s="187"/>
      <c r="W35" s="187"/>
      <c r="X35" s="187"/>
      <c r="Y35" s="187"/>
      <c r="Z35" s="187"/>
      <c r="AA35" s="177"/>
    </row>
    <row r="36" ht="18.75" spans="1:27">
      <c r="A36" s="197"/>
      <c r="B36" s="190"/>
      <c r="C36" s="190"/>
      <c r="D36" s="190"/>
      <c r="E36" s="190"/>
      <c r="F36" s="190"/>
      <c r="G36" s="223" t="s">
        <v>42</v>
      </c>
      <c r="H36" s="199">
        <v>10</v>
      </c>
      <c r="I36" s="200" t="s">
        <v>41</v>
      </c>
      <c r="J36" s="187"/>
      <c r="K36" s="187"/>
      <c r="L36" s="187"/>
      <c r="M36" s="187"/>
      <c r="N36" s="187"/>
      <c r="O36" s="187"/>
      <c r="P36" s="187"/>
      <c r="Q36" s="187"/>
      <c r="R36" s="187"/>
      <c r="S36" s="187"/>
      <c r="T36" s="187"/>
      <c r="U36" s="190"/>
      <c r="V36" s="187"/>
      <c r="W36" s="187"/>
      <c r="X36" s="187"/>
      <c r="Y36" s="187"/>
      <c r="Z36" s="187"/>
      <c r="AA36" s="177"/>
    </row>
    <row r="37" ht="19.5" spans="1:27">
      <c r="A37" s="220"/>
      <c r="B37" s="209"/>
      <c r="C37" s="209"/>
      <c r="D37" s="209"/>
      <c r="E37" s="209"/>
      <c r="F37" s="209"/>
      <c r="G37" s="226" t="s">
        <v>43</v>
      </c>
      <c r="H37" s="227">
        <f>Variable_Management!B134</f>
        <v>1.11055541659718</v>
      </c>
      <c r="I37" s="212" t="s">
        <v>12</v>
      </c>
      <c r="J37" s="187"/>
      <c r="K37" s="187"/>
      <c r="L37" s="187"/>
      <c r="M37" s="187"/>
      <c r="N37" s="187"/>
      <c r="O37" s="187"/>
      <c r="P37" s="187"/>
      <c r="Q37" s="187"/>
      <c r="R37" s="187"/>
      <c r="S37" s="187"/>
      <c r="T37" s="187"/>
      <c r="U37" s="190"/>
      <c r="V37" s="187"/>
      <c r="W37" s="187"/>
      <c r="X37" s="187"/>
      <c r="Y37" s="187"/>
      <c r="Z37" s="187"/>
      <c r="AA37" s="177"/>
    </row>
    <row r="38" spans="1:27">
      <c r="A38" s="187"/>
      <c r="B38" s="187"/>
      <c r="C38" s="187"/>
      <c r="D38" s="187"/>
      <c r="E38" s="187"/>
      <c r="F38" s="187"/>
      <c r="G38" s="188"/>
      <c r="H38" s="187"/>
      <c r="I38" s="187"/>
      <c r="J38" s="187"/>
      <c r="K38" s="187"/>
      <c r="L38" s="187"/>
      <c r="M38" s="187"/>
      <c r="N38" s="187"/>
      <c r="O38" s="187"/>
      <c r="P38" s="187"/>
      <c r="Q38" s="187"/>
      <c r="R38" s="187"/>
      <c r="S38" s="187"/>
      <c r="T38" s="187"/>
      <c r="U38" s="190"/>
      <c r="V38" s="187"/>
      <c r="W38" s="187"/>
      <c r="X38" s="187"/>
      <c r="Y38" s="187"/>
      <c r="Z38" s="187"/>
      <c r="AA38" s="177"/>
    </row>
    <row r="39" ht="15.75" spans="1:27">
      <c r="A39" s="214" t="s">
        <v>44</v>
      </c>
      <c r="B39" s="187"/>
      <c r="C39" s="187"/>
      <c r="D39" s="187"/>
      <c r="E39" s="187"/>
      <c r="F39" s="187"/>
      <c r="G39" s="188"/>
      <c r="H39" s="187"/>
      <c r="I39" s="187"/>
      <c r="J39" s="187"/>
      <c r="K39" s="187"/>
      <c r="L39" s="187"/>
      <c r="M39" s="187"/>
      <c r="N39" s="187"/>
      <c r="O39" s="187"/>
      <c r="P39" s="187"/>
      <c r="Q39" s="187"/>
      <c r="R39" s="187"/>
      <c r="S39" s="187"/>
      <c r="T39" s="187"/>
      <c r="U39" s="190"/>
      <c r="V39" s="187"/>
      <c r="W39" s="187"/>
      <c r="X39" s="187"/>
      <c r="Y39" s="187"/>
      <c r="Z39" s="187"/>
      <c r="AA39" s="177"/>
    </row>
    <row r="40" ht="18.75" spans="1:27">
      <c r="A40" s="192"/>
      <c r="B40" s="193"/>
      <c r="C40" s="193"/>
      <c r="D40" s="193"/>
      <c r="E40" s="193"/>
      <c r="F40" s="193"/>
      <c r="G40" s="229" t="s">
        <v>45</v>
      </c>
      <c r="H40" s="195">
        <v>500</v>
      </c>
      <c r="I40" s="196" t="s">
        <v>46</v>
      </c>
      <c r="J40" s="187"/>
      <c r="K40" s="187"/>
      <c r="L40" s="187"/>
      <c r="M40" s="187"/>
      <c r="N40" s="187"/>
      <c r="O40" s="187"/>
      <c r="P40" s="187"/>
      <c r="Q40" s="187"/>
      <c r="R40" s="187"/>
      <c r="S40" s="187"/>
      <c r="T40" s="187"/>
      <c r="U40" s="190"/>
      <c r="V40" s="187"/>
      <c r="W40" s="187"/>
      <c r="X40" s="187"/>
      <c r="Y40" s="187"/>
      <c r="Z40" s="187"/>
      <c r="AA40" s="177"/>
    </row>
    <row r="41" spans="1:27">
      <c r="A41" s="197"/>
      <c r="B41" s="190"/>
      <c r="C41" s="190"/>
      <c r="D41" s="190"/>
      <c r="E41" s="190"/>
      <c r="F41" s="190"/>
      <c r="G41" s="223" t="s">
        <v>47</v>
      </c>
      <c r="H41" s="201">
        <f>Cout_min*10^6</f>
        <v>44.6666666666667</v>
      </c>
      <c r="I41" s="200" t="s">
        <v>41</v>
      </c>
      <c r="J41" s="187"/>
      <c r="K41" s="187"/>
      <c r="L41" s="187"/>
      <c r="M41" s="187"/>
      <c r="N41" s="187"/>
      <c r="O41" s="187"/>
      <c r="P41" s="187"/>
      <c r="Q41" s="187"/>
      <c r="R41" s="187"/>
      <c r="S41" s="187"/>
      <c r="T41" s="187"/>
      <c r="U41" s="190"/>
      <c r="V41" s="187"/>
      <c r="W41" s="187"/>
      <c r="X41" s="187"/>
      <c r="Y41" s="187"/>
      <c r="Z41" s="187"/>
      <c r="AA41" s="177"/>
    </row>
    <row r="42" ht="18.75" spans="1:27">
      <c r="A42" s="197"/>
      <c r="B42" s="190"/>
      <c r="C42" s="190"/>
      <c r="D42" s="190"/>
      <c r="E42" s="190"/>
      <c r="F42" s="190"/>
      <c r="G42" s="223" t="s">
        <v>48</v>
      </c>
      <c r="H42" s="201">
        <f>IRMS_COUT</f>
        <v>1.11055541659718</v>
      </c>
      <c r="I42" s="200" t="s">
        <v>12</v>
      </c>
      <c r="J42" s="187"/>
      <c r="K42" s="187"/>
      <c r="L42" s="187"/>
      <c r="M42" s="187"/>
      <c r="N42" s="187"/>
      <c r="O42" s="187"/>
      <c r="P42" s="187"/>
      <c r="Q42" s="187"/>
      <c r="R42" s="187"/>
      <c r="S42" s="187"/>
      <c r="T42" s="187"/>
      <c r="U42" s="190"/>
      <c r="V42" s="187"/>
      <c r="W42" s="187"/>
      <c r="X42" s="187"/>
      <c r="Y42" s="187"/>
      <c r="Z42" s="187"/>
      <c r="AA42" s="177"/>
    </row>
    <row r="43" ht="18.75" spans="1:27">
      <c r="A43" s="197"/>
      <c r="B43" s="190"/>
      <c r="C43" s="190"/>
      <c r="D43" s="190"/>
      <c r="E43" s="190"/>
      <c r="F43" s="190"/>
      <c r="G43" s="223" t="s">
        <v>49</v>
      </c>
      <c r="H43" s="199">
        <v>560</v>
      </c>
      <c r="I43" s="200" t="s">
        <v>41</v>
      </c>
      <c r="J43" s="187"/>
      <c r="K43" s="187"/>
      <c r="L43" s="187"/>
      <c r="M43" s="187"/>
      <c r="N43" s="187"/>
      <c r="O43" s="187"/>
      <c r="P43" s="187"/>
      <c r="Q43" s="187"/>
      <c r="R43" s="187"/>
      <c r="S43" s="187"/>
      <c r="T43" s="187"/>
      <c r="U43" s="190"/>
      <c r="V43" s="187"/>
      <c r="W43" s="187"/>
      <c r="X43" s="187"/>
      <c r="Y43" s="187"/>
      <c r="Z43" s="187"/>
      <c r="AA43" s="177"/>
    </row>
    <row r="44" ht="19.5" spans="1:27">
      <c r="A44" s="220"/>
      <c r="B44" s="209"/>
      <c r="C44" s="209"/>
      <c r="D44" s="209"/>
      <c r="E44" s="209"/>
      <c r="F44" s="209"/>
      <c r="G44" s="226" t="s">
        <v>50</v>
      </c>
      <c r="H44" s="231">
        <v>28</v>
      </c>
      <c r="I44" s="212" t="s">
        <v>33</v>
      </c>
      <c r="J44" s="187"/>
      <c r="K44" s="187"/>
      <c r="L44" s="187"/>
      <c r="M44" s="187"/>
      <c r="N44" s="187"/>
      <c r="O44" s="187"/>
      <c r="P44" s="187"/>
      <c r="Q44" s="187"/>
      <c r="R44" s="187"/>
      <c r="S44" s="187"/>
      <c r="T44" s="187"/>
      <c r="U44" s="190"/>
      <c r="V44" s="187"/>
      <c r="W44" s="187"/>
      <c r="X44" s="187"/>
      <c r="Y44" s="187"/>
      <c r="Z44" s="187"/>
      <c r="AA44" s="177"/>
    </row>
    <row r="45" spans="1:27">
      <c r="A45" s="187"/>
      <c r="B45" s="187"/>
      <c r="C45" s="187"/>
      <c r="D45" s="187"/>
      <c r="E45" s="187"/>
      <c r="F45" s="187"/>
      <c r="G45" s="188"/>
      <c r="H45" s="187"/>
      <c r="I45" s="187"/>
      <c r="J45" s="187"/>
      <c r="K45" s="187"/>
      <c r="L45" s="187"/>
      <c r="M45" s="187"/>
      <c r="N45" s="187"/>
      <c r="O45" s="187"/>
      <c r="P45" s="187"/>
      <c r="Q45" s="187"/>
      <c r="R45" s="187"/>
      <c r="S45" s="187"/>
      <c r="T45" s="187"/>
      <c r="U45" s="190"/>
      <c r="V45" s="187"/>
      <c r="W45" s="187"/>
      <c r="X45" s="187"/>
      <c r="Y45" s="187"/>
      <c r="Z45" s="187"/>
      <c r="AA45" s="177"/>
    </row>
    <row r="46" spans="1:27">
      <c r="A46" s="214"/>
      <c r="B46" s="190"/>
      <c r="C46" s="190"/>
      <c r="D46" s="190"/>
      <c r="E46" s="190"/>
      <c r="F46" s="190"/>
      <c r="G46" s="223"/>
      <c r="H46" s="190"/>
      <c r="I46" s="190"/>
      <c r="J46" s="190"/>
      <c r="K46" s="187"/>
      <c r="L46" s="187"/>
      <c r="M46" s="187"/>
      <c r="N46" s="187"/>
      <c r="O46" s="187"/>
      <c r="P46" s="187"/>
      <c r="Q46" s="187"/>
      <c r="R46" s="187"/>
      <c r="S46" s="187"/>
      <c r="T46" s="187"/>
      <c r="U46" s="190"/>
      <c r="V46" s="187"/>
      <c r="W46" s="187"/>
      <c r="X46" s="187"/>
      <c r="Y46" s="187"/>
      <c r="Z46" s="187"/>
      <c r="AA46" s="177"/>
    </row>
    <row r="47" spans="1:27">
      <c r="A47" s="190"/>
      <c r="B47" s="190"/>
      <c r="C47" s="190"/>
      <c r="D47" s="190"/>
      <c r="E47" s="190"/>
      <c r="F47" s="190"/>
      <c r="G47" s="223"/>
      <c r="H47" s="232"/>
      <c r="I47" s="190"/>
      <c r="J47" s="190"/>
      <c r="K47" s="187"/>
      <c r="L47" s="187"/>
      <c r="M47" s="187"/>
      <c r="N47" s="187"/>
      <c r="O47" s="187"/>
      <c r="P47" s="187"/>
      <c r="Q47" s="187"/>
      <c r="R47" s="187"/>
      <c r="S47" s="187"/>
      <c r="T47" s="187"/>
      <c r="U47" s="190"/>
      <c r="V47" s="187"/>
      <c r="W47" s="187"/>
      <c r="X47" s="187"/>
      <c r="Y47" s="187"/>
      <c r="Z47" s="187"/>
      <c r="AA47" s="177"/>
    </row>
    <row r="48" spans="1:27">
      <c r="A48" s="190"/>
      <c r="B48" s="190"/>
      <c r="C48" s="190"/>
      <c r="D48" s="190"/>
      <c r="E48" s="190"/>
      <c r="F48" s="190"/>
      <c r="G48" s="223"/>
      <c r="H48" s="190"/>
      <c r="I48" s="190"/>
      <c r="J48" s="190"/>
      <c r="K48" s="187"/>
      <c r="L48" s="187"/>
      <c r="M48" s="187"/>
      <c r="N48" s="187"/>
      <c r="O48" s="187"/>
      <c r="P48" s="187"/>
      <c r="Q48" s="187"/>
      <c r="R48" s="187"/>
      <c r="S48" s="187"/>
      <c r="T48" s="187"/>
      <c r="U48" s="190"/>
      <c r="V48" s="187"/>
      <c r="W48" s="187"/>
      <c r="X48" s="187"/>
      <c r="Y48" s="187"/>
      <c r="Z48" s="187"/>
      <c r="AA48" s="177"/>
    </row>
    <row r="49" spans="1:27">
      <c r="A49" s="190"/>
      <c r="B49" s="190"/>
      <c r="C49" s="190"/>
      <c r="D49" s="190"/>
      <c r="E49" s="190"/>
      <c r="F49" s="190"/>
      <c r="G49" s="223"/>
      <c r="H49" s="233"/>
      <c r="I49" s="190"/>
      <c r="J49" s="190"/>
      <c r="K49" s="187"/>
      <c r="L49" s="187"/>
      <c r="M49" s="187"/>
      <c r="N49" s="187"/>
      <c r="O49" s="187"/>
      <c r="P49" s="187"/>
      <c r="Q49" s="187"/>
      <c r="R49" s="187"/>
      <c r="S49" s="187"/>
      <c r="T49" s="187"/>
      <c r="U49" s="190"/>
      <c r="V49" s="187"/>
      <c r="W49" s="187"/>
      <c r="X49" s="187"/>
      <c r="Y49" s="187"/>
      <c r="Z49" s="187"/>
      <c r="AA49" s="177"/>
    </row>
    <row r="50" spans="1:27">
      <c r="A50" s="190"/>
      <c r="B50" s="190"/>
      <c r="C50" s="190"/>
      <c r="D50" s="190"/>
      <c r="E50" s="190"/>
      <c r="F50" s="190"/>
      <c r="G50" s="223"/>
      <c r="H50" s="190"/>
      <c r="I50" s="190"/>
      <c r="J50" s="187"/>
      <c r="K50" s="187"/>
      <c r="L50" s="187"/>
      <c r="M50" s="187"/>
      <c r="N50" s="187"/>
      <c r="O50" s="187"/>
      <c r="P50" s="187"/>
      <c r="Q50" s="187"/>
      <c r="R50" s="187"/>
      <c r="S50" s="187"/>
      <c r="T50" s="187"/>
      <c r="U50" s="190"/>
      <c r="V50" s="187"/>
      <c r="W50" s="187"/>
      <c r="X50" s="187"/>
      <c r="Y50" s="187"/>
      <c r="Z50" s="187"/>
      <c r="AA50" s="177"/>
    </row>
    <row r="51" spans="1:27">
      <c r="A51" s="214"/>
      <c r="B51" s="190"/>
      <c r="C51" s="190"/>
      <c r="D51" s="190"/>
      <c r="E51" s="190"/>
      <c r="F51" s="190"/>
      <c r="G51" s="223"/>
      <c r="H51" s="190"/>
      <c r="I51" s="190"/>
      <c r="J51" s="187"/>
      <c r="K51" s="187"/>
      <c r="L51" s="187"/>
      <c r="M51" s="187"/>
      <c r="N51" s="187"/>
      <c r="O51" s="187"/>
      <c r="P51" s="187"/>
      <c r="Q51" s="187"/>
      <c r="R51" s="187"/>
      <c r="S51" s="187"/>
      <c r="T51" s="187"/>
      <c r="U51" s="190"/>
      <c r="V51" s="187"/>
      <c r="W51" s="187"/>
      <c r="X51" s="187"/>
      <c r="Y51" s="187"/>
      <c r="Z51" s="187"/>
      <c r="AA51" s="177"/>
    </row>
    <row r="52" spans="1:27">
      <c r="A52" s="190"/>
      <c r="B52" s="190"/>
      <c r="C52" s="190"/>
      <c r="D52" s="190"/>
      <c r="E52" s="190"/>
      <c r="F52" s="190"/>
      <c r="G52" s="223"/>
      <c r="H52" s="190"/>
      <c r="I52" s="190"/>
      <c r="J52" s="187"/>
      <c r="K52" s="187"/>
      <c r="L52" s="187"/>
      <c r="M52" s="187"/>
      <c r="N52" s="187"/>
      <c r="O52" s="187"/>
      <c r="P52" s="187"/>
      <c r="Q52" s="187"/>
      <c r="R52" s="187"/>
      <c r="S52" s="187"/>
      <c r="T52" s="187"/>
      <c r="U52" s="190"/>
      <c r="V52" s="187"/>
      <c r="W52" s="187"/>
      <c r="X52" s="187"/>
      <c r="Y52" s="187"/>
      <c r="Z52" s="187"/>
      <c r="AA52" s="177"/>
    </row>
    <row r="53" spans="1:27">
      <c r="A53" s="190"/>
      <c r="B53" s="190"/>
      <c r="C53" s="190"/>
      <c r="D53" s="190"/>
      <c r="E53" s="190"/>
      <c r="F53" s="190"/>
      <c r="G53" s="223"/>
      <c r="H53" s="190"/>
      <c r="I53" s="190"/>
      <c r="J53" s="187"/>
      <c r="K53" s="187"/>
      <c r="L53" s="187"/>
      <c r="M53" s="187"/>
      <c r="N53" s="187"/>
      <c r="O53" s="187"/>
      <c r="P53" s="187"/>
      <c r="Q53" s="234">
        <f>VIN_min</f>
        <v>3</v>
      </c>
      <c r="R53" s="187"/>
      <c r="S53" s="187"/>
      <c r="T53" s="187"/>
      <c r="U53" s="190"/>
      <c r="V53" s="187"/>
      <c r="W53" s="187"/>
      <c r="X53" s="187"/>
      <c r="Y53" s="187"/>
      <c r="Z53" s="187"/>
      <c r="AA53" s="177"/>
    </row>
    <row r="54" spans="1:27">
      <c r="A54" s="190"/>
      <c r="B54" s="190"/>
      <c r="C54" s="190"/>
      <c r="D54" s="190"/>
      <c r="E54" s="190"/>
      <c r="F54" s="190"/>
      <c r="G54" s="223"/>
      <c r="H54" s="232"/>
      <c r="I54" s="235"/>
      <c r="J54" s="187"/>
      <c r="K54" s="187"/>
      <c r="L54" s="187"/>
      <c r="M54" s="187"/>
      <c r="N54" s="187"/>
      <c r="O54" s="187"/>
      <c r="P54" s="187"/>
      <c r="Q54" s="187"/>
      <c r="R54" s="187"/>
      <c r="S54" s="187"/>
      <c r="T54" s="187"/>
      <c r="U54" s="190"/>
      <c r="V54" s="187"/>
      <c r="W54" s="187"/>
      <c r="X54" s="187"/>
      <c r="Y54" s="187"/>
      <c r="Z54" s="187"/>
      <c r="AA54" s="177"/>
    </row>
    <row r="55" spans="1:27">
      <c r="A55" s="190"/>
      <c r="B55" s="190"/>
      <c r="C55" s="190"/>
      <c r="D55" s="190"/>
      <c r="E55" s="190"/>
      <c r="F55" s="190"/>
      <c r="G55" s="223"/>
      <c r="H55" s="190"/>
      <c r="I55" s="235"/>
      <c r="J55" s="187"/>
      <c r="K55" s="187"/>
      <c r="L55" s="187"/>
      <c r="M55" s="187"/>
      <c r="N55" s="187"/>
      <c r="O55" s="187"/>
      <c r="P55" s="187"/>
      <c r="Q55" s="187"/>
      <c r="R55" s="187"/>
      <c r="S55" s="187"/>
      <c r="T55" s="187"/>
      <c r="U55" s="190"/>
      <c r="V55" s="187"/>
      <c r="W55" s="187"/>
      <c r="X55" s="187"/>
      <c r="Y55" s="187"/>
      <c r="Z55" s="187"/>
      <c r="AA55" s="177"/>
    </row>
    <row r="56" spans="1:27">
      <c r="A56" s="190"/>
      <c r="B56" s="190"/>
      <c r="C56" s="190"/>
      <c r="D56" s="190"/>
      <c r="E56" s="190"/>
      <c r="F56" s="190"/>
      <c r="G56" s="223"/>
      <c r="H56" s="236"/>
      <c r="I56" s="235"/>
      <c r="J56" s="187"/>
      <c r="K56" s="187"/>
      <c r="L56" s="187"/>
      <c r="M56" s="187"/>
      <c r="N56" s="187"/>
      <c r="O56" s="187"/>
      <c r="P56" s="187"/>
      <c r="Q56" s="187"/>
      <c r="R56" s="187"/>
      <c r="S56" s="187"/>
      <c r="T56" s="187"/>
      <c r="U56" s="190"/>
      <c r="V56" s="187"/>
      <c r="W56" s="187"/>
      <c r="X56" s="187"/>
      <c r="Y56" s="187"/>
      <c r="Z56" s="187"/>
      <c r="AA56" s="177"/>
    </row>
    <row r="57" spans="1:27">
      <c r="A57" s="190"/>
      <c r="B57" s="190"/>
      <c r="C57" s="190"/>
      <c r="D57" s="190"/>
      <c r="E57" s="190"/>
      <c r="F57" s="190"/>
      <c r="G57" s="223"/>
      <c r="H57" s="190"/>
      <c r="I57" s="190"/>
      <c r="J57" s="187"/>
      <c r="K57" s="187"/>
      <c r="L57" s="187"/>
      <c r="M57" s="187"/>
      <c r="N57" s="187"/>
      <c r="O57" s="187"/>
      <c r="P57" s="187"/>
      <c r="Q57" s="187"/>
      <c r="R57" s="187"/>
      <c r="S57" s="187"/>
      <c r="T57" s="187"/>
      <c r="U57" s="190"/>
      <c r="V57" s="187"/>
      <c r="W57" s="187"/>
      <c r="X57" s="187"/>
      <c r="Y57" s="187"/>
      <c r="Z57" s="187"/>
      <c r="AA57" s="177"/>
    </row>
    <row r="58" ht="15.75" spans="1:27">
      <c r="A58" s="214" t="s">
        <v>51</v>
      </c>
      <c r="B58" s="187"/>
      <c r="C58" s="187"/>
      <c r="D58" s="187"/>
      <c r="E58" s="187"/>
      <c r="F58" s="187"/>
      <c r="G58" s="187"/>
      <c r="H58" s="187"/>
      <c r="I58" s="187"/>
      <c r="J58" s="187"/>
      <c r="K58" s="187"/>
      <c r="L58" s="187"/>
      <c r="M58" s="187"/>
      <c r="N58" s="187"/>
      <c r="O58" s="187"/>
      <c r="P58" s="187"/>
      <c r="Q58" s="187"/>
      <c r="R58" s="187"/>
      <c r="S58" s="187"/>
      <c r="T58" s="187"/>
      <c r="U58" s="190"/>
      <c r="V58" s="187"/>
      <c r="W58" s="187"/>
      <c r="X58" s="187"/>
      <c r="Y58" s="187"/>
      <c r="Z58" s="187"/>
      <c r="AA58" s="177"/>
    </row>
    <row r="59" ht="18.75" spans="1:27">
      <c r="A59" s="215"/>
      <c r="B59" s="193"/>
      <c r="C59" s="193"/>
      <c r="D59" s="193"/>
      <c r="E59" s="193"/>
      <c r="F59" s="193"/>
      <c r="G59" s="237" t="s">
        <v>52</v>
      </c>
      <c r="H59" s="238" t="str">
        <f>VIN_var&amp;"V"</f>
        <v>3V</v>
      </c>
      <c r="I59" s="196"/>
      <c r="J59" s="187"/>
      <c r="K59" s="187"/>
      <c r="L59" s="187"/>
      <c r="M59" s="187"/>
      <c r="N59" s="187"/>
      <c r="O59" s="187"/>
      <c r="P59" s="187"/>
      <c r="Q59" s="187"/>
      <c r="R59" s="187"/>
      <c r="S59" s="187"/>
      <c r="T59" s="187"/>
      <c r="U59" s="190"/>
      <c r="V59" s="187"/>
      <c r="W59" s="187"/>
      <c r="X59" s="187"/>
      <c r="Y59" s="187"/>
      <c r="Z59" s="187"/>
      <c r="AA59" s="177"/>
    </row>
    <row r="60" spans="1:27">
      <c r="A60" s="197"/>
      <c r="B60" s="190"/>
      <c r="C60" s="190"/>
      <c r="D60" s="190"/>
      <c r="E60" s="190"/>
      <c r="F60" s="190"/>
      <c r="G60" s="190"/>
      <c r="H60" s="239"/>
      <c r="I60" s="200"/>
      <c r="J60" s="187"/>
      <c r="K60" s="187"/>
      <c r="L60" s="187"/>
      <c r="M60" s="187"/>
      <c r="N60" s="187"/>
      <c r="O60" s="187"/>
      <c r="P60" s="187"/>
      <c r="Q60" s="187"/>
      <c r="R60" s="187"/>
      <c r="S60" s="187"/>
      <c r="T60" s="187"/>
      <c r="U60" s="190"/>
      <c r="V60" s="187"/>
      <c r="W60" s="187"/>
      <c r="X60" s="187"/>
      <c r="Y60" s="187"/>
      <c r="Z60" s="187"/>
      <c r="AA60" s="177"/>
    </row>
    <row r="61" spans="1:27">
      <c r="A61" s="240"/>
      <c r="B61" s="190"/>
      <c r="C61" s="190"/>
      <c r="D61" s="190"/>
      <c r="E61" s="190"/>
      <c r="F61" s="190"/>
      <c r="G61" s="241" t="s">
        <v>53</v>
      </c>
      <c r="H61" s="202"/>
      <c r="I61" s="200"/>
      <c r="J61" s="187"/>
      <c r="K61" s="187"/>
      <c r="L61" s="187"/>
      <c r="M61" s="187"/>
      <c r="N61" s="187"/>
      <c r="O61" s="187"/>
      <c r="P61" s="187"/>
      <c r="Q61" s="187"/>
      <c r="R61" s="187"/>
      <c r="S61" s="187"/>
      <c r="T61" s="187"/>
      <c r="U61" s="190"/>
      <c r="V61" s="187"/>
      <c r="W61" s="187"/>
      <c r="X61" s="187"/>
      <c r="Y61" s="187"/>
      <c r="Z61" s="187"/>
      <c r="AA61" s="177"/>
    </row>
    <row r="62" ht="18.75" spans="1:27">
      <c r="A62" s="240"/>
      <c r="B62" s="190"/>
      <c r="C62" s="190"/>
      <c r="D62" s="190"/>
      <c r="E62" s="190"/>
      <c r="F62" s="190"/>
      <c r="G62" s="223" t="s">
        <v>54</v>
      </c>
      <c r="H62" s="199">
        <v>15</v>
      </c>
      <c r="I62" s="225" t="s">
        <v>55</v>
      </c>
      <c r="J62" s="187"/>
      <c r="K62" s="187"/>
      <c r="L62" s="187"/>
      <c r="M62" s="187"/>
      <c r="N62" s="187"/>
      <c r="O62" s="187"/>
      <c r="P62" s="187"/>
      <c r="Q62" s="187"/>
      <c r="R62" s="187"/>
      <c r="S62" s="187"/>
      <c r="T62" s="187"/>
      <c r="U62" s="190"/>
      <c r="V62" s="187"/>
      <c r="W62" s="187"/>
      <c r="X62" s="187"/>
      <c r="Y62" s="187"/>
      <c r="Z62" s="187"/>
      <c r="AA62" s="177"/>
    </row>
    <row r="63" ht="18.75" spans="1:27">
      <c r="A63" s="240"/>
      <c r="B63" s="190"/>
      <c r="C63" s="190"/>
      <c r="D63" s="190"/>
      <c r="E63" s="190"/>
      <c r="F63" s="190"/>
      <c r="G63" s="223" t="s">
        <v>56</v>
      </c>
      <c r="H63" s="219">
        <f>RFBB_calc/1000</f>
        <v>7.74590163934426</v>
      </c>
      <c r="I63" s="225" t="s">
        <v>55</v>
      </c>
      <c r="J63" s="187"/>
      <c r="K63" s="187"/>
      <c r="L63" s="187"/>
      <c r="M63" s="187"/>
      <c r="N63" s="187"/>
      <c r="O63" s="187"/>
      <c r="P63" s="187"/>
      <c r="Q63" s="187"/>
      <c r="R63" s="187"/>
      <c r="S63" s="187"/>
      <c r="T63" s="187"/>
      <c r="U63" s="190"/>
      <c r="V63" s="187"/>
      <c r="W63" s="187"/>
      <c r="X63" s="187"/>
      <c r="Y63" s="187"/>
      <c r="Z63" s="187"/>
      <c r="AA63" s="177"/>
    </row>
    <row r="64" ht="18.75" spans="1:27">
      <c r="A64" s="240"/>
      <c r="B64" s="190"/>
      <c r="C64" s="190"/>
      <c r="D64" s="190"/>
      <c r="E64" s="190"/>
      <c r="F64" s="190"/>
      <c r="G64" s="223" t="s">
        <v>57</v>
      </c>
      <c r="H64" s="199">
        <v>7.75</v>
      </c>
      <c r="I64" s="225" t="s">
        <v>55</v>
      </c>
      <c r="J64" s="187"/>
      <c r="K64" s="187"/>
      <c r="L64" s="187"/>
      <c r="M64" s="187"/>
      <c r="N64" s="187"/>
      <c r="O64" s="187"/>
      <c r="P64" s="187"/>
      <c r="Q64" s="187"/>
      <c r="R64" s="187"/>
      <c r="S64" s="187"/>
      <c r="T64" s="187"/>
      <c r="U64" s="190"/>
      <c r="V64" s="187"/>
      <c r="W64" s="187"/>
      <c r="X64" s="187"/>
      <c r="Y64" s="187"/>
      <c r="Z64" s="187"/>
      <c r="AA64" s="177"/>
    </row>
    <row r="65" spans="1:27">
      <c r="A65" s="197"/>
      <c r="B65" s="190"/>
      <c r="C65" s="190"/>
      <c r="D65" s="190"/>
      <c r="E65" s="190"/>
      <c r="F65" s="190"/>
      <c r="G65" s="223"/>
      <c r="H65" s="202"/>
      <c r="I65" s="200"/>
      <c r="J65" s="187"/>
      <c r="K65" s="187"/>
      <c r="L65" s="187"/>
      <c r="M65" s="187"/>
      <c r="N65" s="187"/>
      <c r="O65" s="187"/>
      <c r="P65" s="187"/>
      <c r="Q65" s="187"/>
      <c r="R65" s="187"/>
      <c r="S65" s="187"/>
      <c r="T65" s="187"/>
      <c r="U65" s="190"/>
      <c r="V65" s="187"/>
      <c r="W65" s="187"/>
      <c r="X65" s="187"/>
      <c r="Y65" s="187"/>
      <c r="Z65" s="187"/>
      <c r="AA65" s="177"/>
    </row>
    <row r="66" spans="1:27">
      <c r="A66" s="197"/>
      <c r="B66" s="190"/>
      <c r="C66" s="190"/>
      <c r="D66" s="190"/>
      <c r="E66" s="190"/>
      <c r="F66" s="190"/>
      <c r="G66" s="223"/>
      <c r="H66" s="202"/>
      <c r="I66" s="200"/>
      <c r="J66" s="187"/>
      <c r="K66" s="187"/>
      <c r="L66" s="187"/>
      <c r="M66" s="187"/>
      <c r="N66" s="187"/>
      <c r="O66" s="187"/>
      <c r="P66" s="187"/>
      <c r="Q66" s="187"/>
      <c r="R66" s="187"/>
      <c r="S66" s="187"/>
      <c r="T66" s="187"/>
      <c r="U66" s="190"/>
      <c r="V66" s="187"/>
      <c r="W66" s="187"/>
      <c r="X66" s="187"/>
      <c r="Y66" s="187"/>
      <c r="Z66" s="187"/>
      <c r="AA66" s="177"/>
    </row>
    <row r="67" spans="1:27">
      <c r="A67" s="197"/>
      <c r="B67" s="190"/>
      <c r="C67" s="190"/>
      <c r="D67" s="190"/>
      <c r="E67" s="190"/>
      <c r="F67" s="190"/>
      <c r="G67" s="223" t="s">
        <v>58</v>
      </c>
      <c r="H67" s="242">
        <f>fcross_est/1000</f>
        <v>3.563170367729</v>
      </c>
      <c r="I67" s="200" t="s">
        <v>14</v>
      </c>
      <c r="J67" s="187"/>
      <c r="K67" s="187"/>
      <c r="L67" s="187"/>
      <c r="M67" s="187"/>
      <c r="N67" s="187"/>
      <c r="O67" s="187"/>
      <c r="P67" s="187"/>
      <c r="Q67" s="187"/>
      <c r="R67" s="187"/>
      <c r="S67" s="187"/>
      <c r="T67" s="187"/>
      <c r="U67" s="190"/>
      <c r="V67" s="187"/>
      <c r="W67" s="187"/>
      <c r="X67" s="187"/>
      <c r="Y67" s="187"/>
      <c r="Z67" s="187"/>
      <c r="AA67" s="177"/>
    </row>
    <row r="68" ht="18.75" spans="1:27">
      <c r="A68" s="197"/>
      <c r="B68" s="190"/>
      <c r="C68" s="190"/>
      <c r="D68" s="190"/>
      <c r="E68" s="190"/>
      <c r="F68" s="190"/>
      <c r="G68" s="223" t="s">
        <v>59</v>
      </c>
      <c r="H68" s="199">
        <v>0.7</v>
      </c>
      <c r="I68" s="200" t="s">
        <v>14</v>
      </c>
      <c r="J68" s="187"/>
      <c r="K68" s="187"/>
      <c r="L68" s="187"/>
      <c r="M68" s="187"/>
      <c r="N68" s="187"/>
      <c r="O68" s="187"/>
      <c r="P68" s="187"/>
      <c r="Q68" s="187"/>
      <c r="R68" s="187"/>
      <c r="S68" s="187"/>
      <c r="T68" s="187"/>
      <c r="U68" s="190"/>
      <c r="V68" s="187"/>
      <c r="W68" s="187"/>
      <c r="X68" s="187"/>
      <c r="Y68" s="187"/>
      <c r="Z68" s="187"/>
      <c r="AA68" s="177"/>
    </row>
    <row r="69" spans="1:27">
      <c r="A69" s="197"/>
      <c r="B69" s="190"/>
      <c r="C69" s="190"/>
      <c r="D69" s="190"/>
      <c r="E69" s="190"/>
      <c r="F69" s="190"/>
      <c r="G69" s="223"/>
      <c r="H69" s="202"/>
      <c r="I69" s="200"/>
      <c r="J69" s="187"/>
      <c r="K69" s="187"/>
      <c r="L69" s="187"/>
      <c r="M69" s="187"/>
      <c r="N69" s="187"/>
      <c r="O69" s="187"/>
      <c r="P69" s="187"/>
      <c r="Q69" s="187"/>
      <c r="R69" s="187"/>
      <c r="S69" s="187"/>
      <c r="T69" s="187"/>
      <c r="U69" s="190"/>
      <c r="V69" s="187"/>
      <c r="W69" s="187"/>
      <c r="X69" s="187"/>
      <c r="Y69" s="187"/>
      <c r="Z69" s="187"/>
      <c r="AA69" s="177"/>
    </row>
    <row r="70" ht="15.75" spans="1:27">
      <c r="A70" s="197"/>
      <c r="B70" s="190"/>
      <c r="C70" s="190"/>
      <c r="D70" s="190"/>
      <c r="E70" s="190"/>
      <c r="F70" s="243" t="s">
        <v>60</v>
      </c>
      <c r="G70" s="243"/>
      <c r="H70" s="244" t="s">
        <v>61</v>
      </c>
      <c r="I70" s="245"/>
      <c r="J70" s="187"/>
      <c r="K70" s="187"/>
      <c r="L70" s="187"/>
      <c r="M70" s="187"/>
      <c r="N70" s="187"/>
      <c r="O70" s="187"/>
      <c r="P70" s="187"/>
      <c r="Q70" s="187"/>
      <c r="R70" s="187"/>
      <c r="S70" s="187"/>
      <c r="T70" s="187"/>
      <c r="U70" s="190"/>
      <c r="V70" s="187"/>
      <c r="W70" s="187"/>
      <c r="X70" s="187"/>
      <c r="Y70" s="187"/>
      <c r="Z70" s="187"/>
      <c r="AA70" s="177"/>
    </row>
    <row r="71" ht="19.5" spans="1:27">
      <c r="A71" s="197"/>
      <c r="B71" s="190"/>
      <c r="C71" s="190"/>
      <c r="D71" s="190"/>
      <c r="E71" s="223" t="s">
        <v>62</v>
      </c>
      <c r="F71" s="246">
        <f>RCOMP_Calc/1000</f>
        <v>0.224345914887834</v>
      </c>
      <c r="G71" s="247" t="s">
        <v>55</v>
      </c>
      <c r="H71" s="248">
        <v>2.5</v>
      </c>
      <c r="I71" s="225" t="s">
        <v>55</v>
      </c>
      <c r="J71" s="187"/>
      <c r="K71" s="187"/>
      <c r="L71" s="187"/>
      <c r="M71" s="187"/>
      <c r="N71" s="187"/>
      <c r="O71" s="187"/>
      <c r="P71" s="187"/>
      <c r="Q71" s="187"/>
      <c r="R71" s="187"/>
      <c r="S71" s="187"/>
      <c r="T71" s="187"/>
      <c r="U71" s="190"/>
      <c r="V71" s="187"/>
      <c r="W71" s="187"/>
      <c r="X71" s="187"/>
      <c r="Y71" s="187"/>
      <c r="Z71" s="187"/>
      <c r="AA71" s="177"/>
    </row>
    <row r="72" ht="19.5" spans="1:27">
      <c r="A72" s="197"/>
      <c r="B72" s="190"/>
      <c r="C72" s="190"/>
      <c r="D72" s="190"/>
      <c r="E72" s="223" t="s">
        <v>63</v>
      </c>
      <c r="F72" s="249">
        <f>CCOMP_Calc*(10^9)</f>
        <v>2455.60487658011</v>
      </c>
      <c r="G72" s="247" t="s">
        <v>64</v>
      </c>
      <c r="H72" s="248">
        <v>220</v>
      </c>
      <c r="I72" s="200" t="s">
        <v>64</v>
      </c>
      <c r="J72" s="187"/>
      <c r="K72" s="187"/>
      <c r="L72" s="187"/>
      <c r="M72" s="187"/>
      <c r="N72" s="187"/>
      <c r="O72" s="187"/>
      <c r="P72" s="187"/>
      <c r="Q72" s="187"/>
      <c r="R72" s="187"/>
      <c r="S72" s="187"/>
      <c r="T72" s="187"/>
      <c r="U72" s="190"/>
      <c r="V72" s="187"/>
      <c r="W72" s="187"/>
      <c r="X72" s="187"/>
      <c r="Y72" s="187"/>
      <c r="Z72" s="187"/>
      <c r="AA72" s="177"/>
    </row>
    <row r="73" ht="19.5" spans="1:27">
      <c r="A73" s="220"/>
      <c r="B73" s="209"/>
      <c r="C73" s="209"/>
      <c r="D73" s="209"/>
      <c r="E73" s="226" t="s">
        <v>65</v>
      </c>
      <c r="F73" s="250">
        <f>CHF_calc*(10^12)</f>
        <v>33182.8838878855</v>
      </c>
      <c r="G73" s="251" t="s">
        <v>66</v>
      </c>
      <c r="H73" s="231">
        <v>4700</v>
      </c>
      <c r="I73" s="212" t="s">
        <v>66</v>
      </c>
      <c r="J73" s="187"/>
      <c r="K73" s="187"/>
      <c r="L73" s="187"/>
      <c r="M73" s="187"/>
      <c r="N73" s="187"/>
      <c r="O73" s="187"/>
      <c r="P73" s="187"/>
      <c r="Q73" s="187"/>
      <c r="R73" s="187"/>
      <c r="S73" s="187"/>
      <c r="T73" s="187"/>
      <c r="U73" s="190"/>
      <c r="V73" s="187"/>
      <c r="W73" s="187"/>
      <c r="X73" s="187"/>
      <c r="Y73" s="187"/>
      <c r="Z73" s="187"/>
      <c r="AA73" s="177"/>
    </row>
    <row r="74" spans="1:27">
      <c r="A74" s="187"/>
      <c r="B74" s="187"/>
      <c r="C74" s="187"/>
      <c r="D74" s="187"/>
      <c r="E74" s="188"/>
      <c r="F74" s="252"/>
      <c r="G74" s="188"/>
      <c r="H74" s="253"/>
      <c r="I74" s="187"/>
      <c r="J74" s="187"/>
      <c r="K74" s="187"/>
      <c r="L74" s="187"/>
      <c r="M74" s="187"/>
      <c r="N74" s="187"/>
      <c r="O74" s="187"/>
      <c r="P74" s="187"/>
      <c r="Q74" s="187"/>
      <c r="R74" s="187"/>
      <c r="S74" s="187"/>
      <c r="T74" s="187"/>
      <c r="U74" s="190"/>
      <c r="V74" s="187"/>
      <c r="W74" s="187"/>
      <c r="X74" s="187"/>
      <c r="Y74" s="187"/>
      <c r="Z74" s="187"/>
      <c r="AA74" s="177"/>
    </row>
    <row r="75" ht="23.25" spans="1:27">
      <c r="A75" s="254" t="s">
        <v>67</v>
      </c>
      <c r="B75" s="255"/>
      <c r="C75" s="255"/>
      <c r="D75" s="255"/>
      <c r="E75" s="255"/>
      <c r="F75" s="255"/>
      <c r="G75" s="256"/>
      <c r="H75" s="255"/>
      <c r="I75" s="255"/>
      <c r="J75" s="255"/>
      <c r="K75" s="255"/>
      <c r="L75" s="255"/>
      <c r="M75" s="255"/>
      <c r="N75" s="255"/>
      <c r="O75" s="255"/>
      <c r="P75" s="255"/>
      <c r="Q75" s="255"/>
      <c r="R75" s="255"/>
      <c r="S75" s="255"/>
      <c r="T75" s="257"/>
      <c r="U75" s="258"/>
      <c r="V75" s="257"/>
      <c r="W75" s="257"/>
      <c r="X75" s="257"/>
      <c r="Y75" s="257"/>
      <c r="Z75" s="257"/>
    </row>
    <row r="76" spans="1:27">
      <c r="A76" s="187"/>
      <c r="B76" s="187"/>
      <c r="C76" s="187"/>
      <c r="D76" s="187"/>
      <c r="E76" s="187"/>
      <c r="F76" s="187"/>
      <c r="G76" s="187"/>
      <c r="H76" s="187"/>
      <c r="I76" s="187"/>
      <c r="J76" s="187"/>
      <c r="K76" s="187"/>
      <c r="L76" s="187"/>
      <c r="M76" s="187"/>
      <c r="N76" s="187"/>
      <c r="O76" s="187"/>
      <c r="P76" s="187"/>
      <c r="Q76" s="187"/>
      <c r="R76" s="187"/>
      <c r="S76" s="187"/>
      <c r="T76" s="187"/>
      <c r="U76" s="190"/>
      <c r="V76" s="187"/>
      <c r="W76" s="187"/>
      <c r="X76" s="187"/>
      <c r="Y76" s="187"/>
      <c r="Z76" s="187"/>
      <c r="AA76" s="177"/>
    </row>
    <row r="77" ht="15.75" spans="1:27">
      <c r="A77" s="259" t="s">
        <v>68</v>
      </c>
      <c r="B77" s="190"/>
      <c r="C77" s="190"/>
      <c r="D77" s="190"/>
      <c r="E77" s="190"/>
      <c r="F77" s="187"/>
      <c r="G77" s="187"/>
      <c r="H77" s="190"/>
      <c r="I77" s="190"/>
      <c r="J77" s="187"/>
      <c r="K77" s="187"/>
      <c r="L77" s="187"/>
      <c r="M77" s="187"/>
      <c r="N77" s="187"/>
      <c r="O77" s="187"/>
      <c r="P77" s="187"/>
      <c r="Q77" s="187"/>
      <c r="R77" s="187"/>
      <c r="S77" s="187"/>
      <c r="T77" s="187"/>
      <c r="U77" s="190"/>
      <c r="V77" s="187"/>
      <c r="W77" s="187"/>
      <c r="X77" s="187"/>
      <c r="Y77" s="187"/>
      <c r="Z77" s="187"/>
      <c r="AA77" s="177"/>
    </row>
    <row r="78" ht="16.5" spans="1:27">
      <c r="A78" s="192"/>
      <c r="B78" s="193"/>
      <c r="C78" s="193"/>
      <c r="D78" s="193"/>
      <c r="E78" s="193"/>
      <c r="F78" s="193"/>
      <c r="G78" s="260" t="s">
        <v>69</v>
      </c>
      <c r="H78" s="195">
        <v>8.1</v>
      </c>
      <c r="I78" s="261" t="s">
        <v>70</v>
      </c>
      <c r="J78" s="80"/>
      <c r="K78" s="80"/>
      <c r="L78" s="80"/>
      <c r="M78" s="80"/>
      <c r="N78" s="80"/>
      <c r="O78" s="80"/>
      <c r="P78" s="80"/>
      <c r="Q78" s="80"/>
      <c r="R78" s="80"/>
      <c r="S78" s="80"/>
      <c r="T78" s="80"/>
      <c r="U78" s="262"/>
      <c r="V78" s="253"/>
      <c r="W78" s="80"/>
      <c r="X78" s="80"/>
      <c r="Y78" s="80"/>
      <c r="Z78" s="80"/>
      <c r="AA78" s="177"/>
    </row>
    <row r="79" ht="16.5" spans="1:27">
      <c r="A79" s="240"/>
      <c r="B79" s="190"/>
      <c r="C79" s="190"/>
      <c r="D79" s="190"/>
      <c r="E79" s="190"/>
      <c r="F79" s="190"/>
      <c r="G79" s="263" t="s">
        <v>71</v>
      </c>
      <c r="H79" s="199">
        <v>11.1</v>
      </c>
      <c r="I79" s="264" t="s">
        <v>72</v>
      </c>
      <c r="J79" s="80"/>
      <c r="K79" s="80"/>
      <c r="L79" s="80"/>
      <c r="M79" s="80"/>
      <c r="N79" s="80"/>
      <c r="O79" s="80"/>
      <c r="P79" s="80"/>
      <c r="Q79" s="80"/>
      <c r="R79" s="80"/>
      <c r="S79" s="80"/>
      <c r="T79" s="80"/>
      <c r="U79" s="262"/>
      <c r="V79" s="253"/>
      <c r="W79" s="80"/>
      <c r="X79" s="80"/>
      <c r="Y79" s="80"/>
      <c r="Z79" s="80"/>
      <c r="AA79" s="177"/>
    </row>
    <row r="80" ht="16.5" spans="1:27">
      <c r="A80" s="240"/>
      <c r="B80" s="190"/>
      <c r="C80" s="190"/>
      <c r="D80" s="190"/>
      <c r="E80" s="190"/>
      <c r="F80" s="190"/>
      <c r="G80" s="263" t="s">
        <v>73</v>
      </c>
      <c r="H80" s="199">
        <v>1.7</v>
      </c>
      <c r="I80" s="264" t="s">
        <v>72</v>
      </c>
      <c r="J80" s="80"/>
      <c r="K80" s="80"/>
      <c r="L80" s="80"/>
      <c r="M80" s="80"/>
      <c r="N80" s="80"/>
      <c r="O80" s="80"/>
      <c r="P80" s="80"/>
      <c r="Q80" s="80"/>
      <c r="R80" s="80"/>
      <c r="S80" s="80"/>
      <c r="T80" s="80"/>
      <c r="U80" s="262"/>
      <c r="V80" s="253"/>
      <c r="W80" s="80"/>
      <c r="X80" s="80"/>
      <c r="Y80" s="80"/>
      <c r="Z80" s="80"/>
      <c r="AA80" s="177"/>
    </row>
    <row r="81" ht="16.5" spans="1:27">
      <c r="A81" s="197"/>
      <c r="B81" s="190"/>
      <c r="C81" s="190"/>
      <c r="D81" s="190"/>
      <c r="E81" s="190"/>
      <c r="F81" s="190"/>
      <c r="G81" s="263" t="s">
        <v>74</v>
      </c>
      <c r="H81" s="199">
        <v>3.1</v>
      </c>
      <c r="I81" s="264" t="s">
        <v>72</v>
      </c>
      <c r="J81" s="80"/>
      <c r="K81" s="80"/>
      <c r="L81" s="80"/>
      <c r="M81" s="80"/>
      <c r="N81" s="80"/>
      <c r="O81" s="80"/>
      <c r="P81" s="80"/>
      <c r="Q81" s="80"/>
      <c r="R81" s="80"/>
      <c r="S81" s="80"/>
      <c r="T81" s="80"/>
      <c r="U81" s="262"/>
      <c r="V81" s="253"/>
      <c r="W81" s="80"/>
      <c r="X81" s="80"/>
      <c r="Y81" s="80"/>
      <c r="Z81" s="80"/>
      <c r="AA81" s="177"/>
    </row>
    <row r="82" ht="16.5" spans="1:27">
      <c r="A82" s="197"/>
      <c r="B82" s="190"/>
      <c r="C82" s="190"/>
      <c r="D82" s="190"/>
      <c r="E82" s="190"/>
      <c r="F82" s="190"/>
      <c r="G82" s="263" t="s">
        <v>75</v>
      </c>
      <c r="H82" s="199">
        <v>1</v>
      </c>
      <c r="I82" s="264" t="s">
        <v>76</v>
      </c>
      <c r="J82" s="80"/>
      <c r="K82" s="80"/>
      <c r="L82" s="80"/>
      <c r="M82" s="80"/>
      <c r="N82" s="80"/>
      <c r="O82" s="80"/>
      <c r="P82" s="80"/>
      <c r="Q82" s="80"/>
      <c r="R82" s="80"/>
      <c r="S82" s="80"/>
      <c r="T82" s="80"/>
      <c r="U82" s="262"/>
      <c r="V82" s="253"/>
      <c r="W82" s="80"/>
      <c r="X82" s="80"/>
      <c r="Y82" s="80"/>
      <c r="Z82" s="80"/>
      <c r="AA82" s="177"/>
    </row>
    <row r="83" ht="16.5" spans="1:27">
      <c r="A83" s="197"/>
      <c r="B83" s="190"/>
      <c r="C83" s="190"/>
      <c r="D83" s="190"/>
      <c r="E83" s="190"/>
      <c r="F83" s="190"/>
      <c r="G83" s="263" t="s">
        <v>77</v>
      </c>
      <c r="H83" s="199">
        <v>40</v>
      </c>
      <c r="I83" s="264" t="s">
        <v>78</v>
      </c>
      <c r="J83" s="80"/>
      <c r="K83" s="80"/>
      <c r="L83" s="80"/>
      <c r="M83" s="80"/>
      <c r="N83" s="80"/>
      <c r="O83" s="80"/>
      <c r="P83" s="80"/>
      <c r="Q83" s="80"/>
      <c r="R83" s="80"/>
      <c r="S83" s="80"/>
      <c r="T83" s="80"/>
      <c r="U83" s="262"/>
      <c r="V83" s="253"/>
      <c r="W83" s="80"/>
      <c r="X83" s="80"/>
      <c r="Y83" s="80"/>
      <c r="Z83" s="80"/>
      <c r="AA83" s="177"/>
    </row>
    <row r="84" ht="17.25" spans="1:27">
      <c r="A84" s="220"/>
      <c r="B84" s="209"/>
      <c r="C84" s="209"/>
      <c r="D84" s="209"/>
      <c r="E84" s="209"/>
      <c r="F84" s="209"/>
      <c r="G84" s="265" t="s">
        <v>79</v>
      </c>
      <c r="H84" s="231">
        <v>10</v>
      </c>
      <c r="I84" s="266" t="s">
        <v>7</v>
      </c>
      <c r="J84" s="80"/>
      <c r="K84" s="80"/>
      <c r="L84" s="80"/>
      <c r="M84" s="80"/>
      <c r="N84" s="80"/>
      <c r="O84" s="80"/>
      <c r="P84" s="80"/>
      <c r="Q84" s="80"/>
      <c r="R84" s="80"/>
      <c r="S84" s="80"/>
      <c r="T84" s="80"/>
      <c r="U84" s="262"/>
      <c r="V84" s="253"/>
      <c r="W84" s="80"/>
      <c r="X84" s="80"/>
      <c r="Y84" s="80"/>
      <c r="Z84" s="80"/>
      <c r="AA84" s="177"/>
    </row>
    <row r="85" spans="1:27">
      <c r="A85" s="187"/>
      <c r="B85" s="187"/>
      <c r="C85" s="187"/>
      <c r="D85" s="187"/>
      <c r="E85" s="187"/>
      <c r="F85" s="187"/>
      <c r="G85" s="188"/>
      <c r="H85" s="187"/>
      <c r="I85" s="190"/>
      <c r="J85" s="187"/>
      <c r="K85" s="187"/>
      <c r="L85" s="187"/>
      <c r="M85" s="187"/>
      <c r="N85" s="187"/>
      <c r="O85" s="187"/>
      <c r="P85" s="187"/>
      <c r="Q85" s="187"/>
      <c r="R85" s="187"/>
      <c r="S85" s="187"/>
      <c r="T85" s="187"/>
      <c r="U85" s="190"/>
      <c r="V85" s="187"/>
      <c r="W85" s="187"/>
      <c r="X85" s="187"/>
      <c r="Y85" s="187"/>
      <c r="Z85" s="187"/>
      <c r="AA85" s="177"/>
    </row>
    <row r="86" ht="15.75" spans="1:27">
      <c r="A86" s="267" t="s">
        <v>80</v>
      </c>
      <c r="B86" s="187"/>
      <c r="C86" s="187"/>
      <c r="D86" s="187"/>
      <c r="E86" s="187"/>
      <c r="F86" s="187"/>
      <c r="G86" s="188"/>
      <c r="H86" s="187"/>
      <c r="I86" s="187"/>
      <c r="J86" s="187"/>
      <c r="K86" s="187"/>
      <c r="L86" s="187"/>
      <c r="M86" s="187"/>
      <c r="N86" s="187"/>
      <c r="O86" s="187"/>
      <c r="P86" s="187"/>
      <c r="Q86" s="187"/>
      <c r="R86" s="187"/>
      <c r="S86" s="187"/>
      <c r="T86" s="187"/>
      <c r="U86" s="190"/>
      <c r="V86" s="187"/>
      <c r="W86" s="187"/>
      <c r="X86" s="187"/>
      <c r="Y86" s="187"/>
      <c r="Z86" s="187"/>
      <c r="AA86" s="177"/>
    </row>
    <row r="87" ht="18.75" spans="1:27">
      <c r="A87" s="192"/>
      <c r="B87" s="193"/>
      <c r="C87" s="193"/>
      <c r="D87" s="193"/>
      <c r="E87" s="193"/>
      <c r="F87" s="193"/>
      <c r="G87" s="229" t="s">
        <v>81</v>
      </c>
      <c r="H87" s="268">
        <f>IOUT</f>
        <v>1</v>
      </c>
      <c r="I87" s="196" t="s">
        <v>12</v>
      </c>
      <c r="J87" s="80"/>
      <c r="K87" s="80"/>
      <c r="L87" s="80"/>
      <c r="M87" s="80"/>
      <c r="N87" s="80"/>
      <c r="O87" s="80"/>
      <c r="P87" s="80"/>
      <c r="Q87" s="80"/>
      <c r="R87" s="80"/>
      <c r="S87" s="80"/>
      <c r="T87" s="80"/>
      <c r="U87" s="262"/>
      <c r="V87" s="253"/>
      <c r="W87" s="80"/>
      <c r="X87" s="80"/>
      <c r="Y87" s="80"/>
      <c r="Z87" s="80"/>
      <c r="AA87" s="177"/>
    </row>
    <row r="88" ht="18.75" spans="1:27">
      <c r="A88" s="197"/>
      <c r="B88" s="190"/>
      <c r="C88" s="190"/>
      <c r="D88" s="190"/>
      <c r="E88" s="190"/>
      <c r="F88" s="190"/>
      <c r="G88" s="223" t="s">
        <v>82</v>
      </c>
      <c r="H88" s="199">
        <v>325</v>
      </c>
      <c r="I88" s="200" t="s">
        <v>46</v>
      </c>
      <c r="J88" s="80"/>
      <c r="K88" s="80"/>
      <c r="L88" s="80"/>
      <c r="M88" s="80"/>
      <c r="N88" s="80"/>
      <c r="O88" s="80"/>
      <c r="P88" s="80"/>
      <c r="Q88" s="80"/>
      <c r="R88" s="80"/>
      <c r="S88" s="80"/>
      <c r="T88" s="80"/>
      <c r="U88" s="262"/>
      <c r="V88" s="253"/>
      <c r="W88" s="80"/>
      <c r="X88" s="80"/>
      <c r="Y88" s="80"/>
      <c r="Z88" s="80"/>
      <c r="AA88" s="177"/>
    </row>
    <row r="89" ht="15.75" spans="1:27">
      <c r="A89" s="220"/>
      <c r="B89" s="209"/>
      <c r="C89" s="209"/>
      <c r="D89" s="209"/>
      <c r="E89" s="209"/>
      <c r="F89" s="209"/>
      <c r="G89" s="226" t="s">
        <v>83</v>
      </c>
      <c r="H89" s="231">
        <v>0</v>
      </c>
      <c r="I89" s="212" t="s">
        <v>72</v>
      </c>
      <c r="J89" s="80"/>
      <c r="K89" s="80"/>
      <c r="L89" s="80"/>
      <c r="M89" s="80"/>
      <c r="N89" s="80"/>
      <c r="O89" s="80"/>
      <c r="P89" s="80"/>
      <c r="Q89" s="80"/>
      <c r="R89" s="80"/>
      <c r="S89" s="80"/>
      <c r="T89" s="80"/>
      <c r="U89" s="262"/>
      <c r="V89" s="253"/>
      <c r="W89" s="80"/>
      <c r="X89" s="80"/>
      <c r="Y89" s="80"/>
      <c r="Z89" s="80"/>
      <c r="AA89" s="177"/>
    </row>
    <row r="90" spans="1:27">
      <c r="A90" s="187"/>
      <c r="B90" s="187"/>
      <c r="C90" s="187"/>
      <c r="D90" s="187"/>
      <c r="E90" s="187"/>
      <c r="F90" s="187"/>
      <c r="G90" s="188"/>
      <c r="H90" s="187"/>
      <c r="I90" s="187"/>
      <c r="J90" s="187"/>
      <c r="K90" s="187"/>
      <c r="L90" s="187"/>
      <c r="M90" s="187"/>
      <c r="N90" s="187"/>
      <c r="O90" s="187"/>
      <c r="P90" s="187"/>
      <c r="Q90" s="187"/>
      <c r="R90" s="187"/>
      <c r="S90" s="187"/>
      <c r="T90" s="187"/>
      <c r="U90" s="190"/>
      <c r="V90" s="187"/>
      <c r="W90" s="187"/>
      <c r="X90" s="187"/>
      <c r="Y90" s="187"/>
      <c r="Z90" s="187"/>
      <c r="AA90" s="177"/>
    </row>
    <row r="91" spans="1:27">
      <c r="A91" s="187"/>
      <c r="B91" s="187"/>
      <c r="C91" s="187"/>
      <c r="D91" s="187"/>
      <c r="E91" s="187"/>
      <c r="F91" s="187"/>
      <c r="G91" s="188"/>
      <c r="H91" s="187"/>
      <c r="I91" s="187"/>
      <c r="J91" s="187"/>
      <c r="K91" s="187"/>
      <c r="L91" s="187"/>
      <c r="M91" s="187"/>
      <c r="N91" s="187"/>
      <c r="O91" s="187"/>
      <c r="P91" s="187"/>
      <c r="Q91" s="187"/>
      <c r="R91" s="187"/>
      <c r="S91" s="187"/>
      <c r="T91" s="187"/>
      <c r="U91" s="190"/>
      <c r="V91" s="187"/>
      <c r="W91" s="187"/>
      <c r="X91" s="187"/>
      <c r="Y91" s="187"/>
      <c r="Z91" s="187"/>
      <c r="AA91" s="177"/>
    </row>
    <row r="92" spans="1:27">
      <c r="A92" s="187"/>
      <c r="B92" s="187"/>
      <c r="C92" s="187"/>
      <c r="D92" s="187"/>
      <c r="E92" s="187"/>
      <c r="F92" s="187"/>
      <c r="G92" s="188"/>
      <c r="H92" s="187"/>
      <c r="I92" s="187"/>
      <c r="J92" s="187"/>
      <c r="K92" s="187"/>
      <c r="L92" s="187"/>
      <c r="M92" s="187"/>
      <c r="N92" s="187"/>
      <c r="O92" s="187"/>
      <c r="P92" s="187"/>
      <c r="Q92" s="187"/>
      <c r="R92" s="187"/>
      <c r="S92" s="187"/>
      <c r="T92" s="187"/>
      <c r="U92" s="190"/>
      <c r="V92" s="187"/>
      <c r="W92" s="187"/>
      <c r="X92" s="187"/>
      <c r="Y92" s="187"/>
      <c r="Z92" s="187"/>
      <c r="AA92" s="177"/>
    </row>
    <row r="93" spans="1:27">
      <c r="A93" s="187"/>
      <c r="B93" s="187"/>
      <c r="C93" s="187"/>
      <c r="D93" s="187"/>
      <c r="E93" s="187"/>
      <c r="F93" s="187"/>
      <c r="G93" s="188"/>
      <c r="H93" s="187"/>
      <c r="I93" s="187"/>
      <c r="J93" s="187"/>
      <c r="K93" s="187"/>
      <c r="L93" s="187"/>
      <c r="M93" s="187"/>
      <c r="N93" s="187"/>
      <c r="O93" s="187"/>
      <c r="P93" s="187"/>
      <c r="Q93" s="187"/>
      <c r="R93" s="187"/>
      <c r="S93" s="187"/>
      <c r="T93" s="187"/>
      <c r="U93" s="190"/>
      <c r="V93" s="187"/>
      <c r="W93" s="187"/>
      <c r="X93" s="187"/>
      <c r="Y93" s="187"/>
      <c r="Z93" s="187"/>
      <c r="AA93" s="177"/>
    </row>
    <row r="94" spans="1:27">
      <c r="A94" s="187"/>
      <c r="B94" s="187"/>
      <c r="C94" s="187"/>
      <c r="D94" s="187"/>
      <c r="E94" s="187"/>
      <c r="F94" s="187"/>
      <c r="G94" s="188"/>
      <c r="H94" s="187"/>
      <c r="I94" s="187"/>
      <c r="J94" s="187"/>
      <c r="K94" s="187"/>
      <c r="L94" s="187"/>
      <c r="M94" s="187"/>
      <c r="N94" s="187"/>
      <c r="O94" s="187"/>
      <c r="P94" s="187"/>
      <c r="Q94" s="187"/>
      <c r="R94" s="187"/>
      <c r="S94" s="187"/>
      <c r="T94" s="187"/>
      <c r="U94" s="190"/>
      <c r="V94" s="187"/>
      <c r="W94" s="187"/>
      <c r="X94" s="187"/>
      <c r="Y94" s="187"/>
      <c r="Z94" s="187"/>
      <c r="AA94" s="177"/>
    </row>
    <row r="95" spans="1:27">
      <c r="A95" s="187"/>
      <c r="B95" s="187"/>
      <c r="C95" s="187"/>
      <c r="D95" s="187"/>
      <c r="E95" s="187"/>
      <c r="F95" s="187"/>
      <c r="G95" s="188"/>
      <c r="H95" s="187"/>
      <c r="I95" s="187"/>
      <c r="J95" s="187"/>
      <c r="K95" s="187"/>
      <c r="L95" s="187"/>
      <c r="M95" s="187"/>
      <c r="N95" s="187"/>
      <c r="O95" s="187"/>
      <c r="P95" s="187"/>
      <c r="Q95" s="187"/>
      <c r="R95" s="187"/>
      <c r="S95" s="187"/>
      <c r="T95" s="187"/>
      <c r="U95" s="190"/>
      <c r="V95" s="187"/>
      <c r="W95" s="187"/>
      <c r="X95" s="187"/>
      <c r="Y95" s="187"/>
      <c r="Z95" s="187"/>
      <c r="AA95" s="177"/>
    </row>
    <row r="96" spans="1:27">
      <c r="A96" s="187"/>
      <c r="B96" s="187"/>
      <c r="C96" s="187"/>
      <c r="D96" s="187"/>
      <c r="E96" s="187"/>
      <c r="F96" s="187"/>
      <c r="G96" s="188"/>
      <c r="H96" s="187"/>
      <c r="I96" s="187"/>
      <c r="J96" s="187"/>
      <c r="K96" s="187"/>
      <c r="L96" s="187"/>
      <c r="M96" s="187"/>
      <c r="N96" s="187"/>
      <c r="O96" s="187"/>
      <c r="P96" s="187"/>
      <c r="Q96" s="187"/>
      <c r="R96" s="187"/>
      <c r="S96" s="187"/>
      <c r="T96" s="187"/>
      <c r="U96" s="190"/>
      <c r="V96" s="187"/>
      <c r="W96" s="187"/>
      <c r="X96" s="187"/>
      <c r="Y96" s="187"/>
      <c r="Z96" s="187"/>
      <c r="AA96" s="177"/>
    </row>
    <row r="97" spans="1:27">
      <c r="A97" s="187"/>
      <c r="B97" s="187"/>
      <c r="C97" s="187"/>
      <c r="D97" s="187"/>
      <c r="E97" s="187"/>
      <c r="F97" s="187"/>
      <c r="G97" s="188"/>
      <c r="H97" s="187"/>
      <c r="I97" s="187"/>
      <c r="J97" s="187"/>
      <c r="K97" s="187"/>
      <c r="L97" s="187"/>
      <c r="M97" s="187"/>
      <c r="N97" s="187"/>
      <c r="O97" s="187"/>
      <c r="P97" s="187"/>
      <c r="Q97" s="187"/>
      <c r="R97" s="187"/>
      <c r="S97" s="187"/>
      <c r="T97" s="187"/>
      <c r="U97" s="190"/>
      <c r="V97" s="187"/>
      <c r="W97" s="187"/>
      <c r="X97" s="187"/>
      <c r="Y97" s="187"/>
      <c r="Z97" s="187"/>
      <c r="AA97" s="177"/>
    </row>
    <row r="98" spans="1:27">
      <c r="A98" s="187"/>
      <c r="B98" s="187"/>
      <c r="C98" s="187"/>
      <c r="D98" s="187"/>
      <c r="E98" s="187"/>
      <c r="F98" s="187"/>
      <c r="G98" s="188"/>
      <c r="H98" s="187"/>
      <c r="I98" s="187"/>
      <c r="J98" s="187"/>
      <c r="K98" s="187"/>
      <c r="L98" s="187"/>
      <c r="M98" s="187"/>
      <c r="N98" s="187"/>
      <c r="O98" s="187"/>
      <c r="P98" s="187"/>
      <c r="Q98" s="187"/>
      <c r="R98" s="187"/>
      <c r="S98" s="187"/>
      <c r="T98" s="187"/>
      <c r="U98" s="190"/>
      <c r="V98" s="187"/>
      <c r="W98" s="187"/>
      <c r="X98" s="187"/>
      <c r="Y98" s="187"/>
      <c r="Z98" s="187"/>
      <c r="AA98" s="177"/>
    </row>
    <row r="99" spans="1:27">
      <c r="A99" s="187"/>
      <c r="B99" s="187"/>
      <c r="C99" s="187"/>
      <c r="D99" s="187"/>
      <c r="E99" s="187"/>
      <c r="F99" s="187"/>
      <c r="G99" s="188"/>
      <c r="H99" s="187"/>
      <c r="I99" s="187"/>
      <c r="J99" s="187"/>
      <c r="K99" s="187"/>
      <c r="L99" s="187"/>
      <c r="M99" s="187"/>
      <c r="N99" s="187"/>
      <c r="O99" s="187"/>
      <c r="P99" s="187"/>
      <c r="Q99" s="187"/>
      <c r="R99" s="187"/>
      <c r="S99" s="187"/>
      <c r="T99" s="187"/>
      <c r="U99" s="190"/>
      <c r="V99" s="187"/>
      <c r="W99" s="187"/>
      <c r="X99" s="187"/>
      <c r="Y99" s="187"/>
      <c r="Z99" s="187"/>
      <c r="AA99" s="177"/>
    </row>
    <row r="100" spans="1:27">
      <c r="A100" s="187"/>
      <c r="B100" s="187"/>
      <c r="C100" s="187"/>
      <c r="D100" s="187"/>
      <c r="E100" s="187"/>
      <c r="F100" s="187"/>
      <c r="G100" s="188"/>
      <c r="H100" s="187"/>
      <c r="I100" s="187"/>
      <c r="J100" s="187"/>
      <c r="K100" s="187"/>
      <c r="L100" s="187"/>
      <c r="M100" s="187"/>
      <c r="N100" s="187"/>
      <c r="O100" s="187"/>
      <c r="P100" s="187"/>
      <c r="Q100" s="187"/>
      <c r="R100" s="187"/>
      <c r="S100" s="187"/>
      <c r="T100" s="187"/>
      <c r="U100" s="190"/>
      <c r="V100" s="187"/>
      <c r="W100" s="187"/>
      <c r="X100" s="187"/>
      <c r="Y100" s="187"/>
      <c r="Z100" s="187"/>
      <c r="AA100" s="177"/>
    </row>
    <row r="101" spans="1:27">
      <c r="A101" s="187"/>
      <c r="B101" s="187"/>
      <c r="C101" s="187"/>
      <c r="D101" s="187"/>
      <c r="E101" s="187"/>
      <c r="F101" s="187"/>
      <c r="G101" s="188"/>
      <c r="H101" s="187"/>
      <c r="I101" s="187"/>
      <c r="J101" s="187"/>
      <c r="K101" s="187"/>
      <c r="L101" s="187"/>
      <c r="M101" s="187"/>
      <c r="N101" s="187"/>
      <c r="O101" s="187"/>
      <c r="P101" s="187"/>
      <c r="Q101" s="187"/>
      <c r="R101" s="187"/>
      <c r="S101" s="187"/>
      <c r="T101" s="187"/>
      <c r="U101" s="190"/>
      <c r="V101" s="187"/>
      <c r="W101" s="187"/>
      <c r="X101" s="187"/>
      <c r="Y101" s="187"/>
      <c r="Z101" s="187"/>
      <c r="AA101" s="177"/>
    </row>
    <row r="102" spans="1:27">
      <c r="A102" s="269"/>
      <c r="B102" s="269"/>
      <c r="C102" s="269"/>
      <c r="D102" s="269"/>
      <c r="E102" s="269"/>
      <c r="F102" s="269"/>
      <c r="G102" s="270"/>
      <c r="H102" s="269"/>
      <c r="I102" s="269"/>
      <c r="J102" s="269"/>
      <c r="K102" s="269"/>
      <c r="L102" s="269"/>
      <c r="M102" s="269"/>
      <c r="N102" s="269"/>
      <c r="O102" s="269"/>
      <c r="P102" s="269"/>
      <c r="Q102" s="269"/>
      <c r="R102" s="269"/>
      <c r="S102" s="269"/>
      <c r="T102" s="269"/>
      <c r="U102" s="178"/>
      <c r="V102" s="269"/>
      <c r="W102" s="269"/>
      <c r="X102" s="269"/>
      <c r="Y102" s="269"/>
      <c r="Z102" s="269"/>
      <c r="AA102" s="177"/>
    </row>
  </sheetData>
  <sheetProtection algorithmName="SHA-512" hashValue="bZn5BxNoQji7e1OWgd53ovX541s0yIMhHlSN7b6uPqCJHi2+HVCy3Ji5mYlhYKsqPcL7cRV0iAgdJo4VuP7CPw==" saltValue="3v/sh/XiDIsewZ/5WLObCA==" spinCount="100000" sheet="1" selectLockedCells="1" objects="1" scenarios="1"/>
  <conditionalFormatting sqref="H7">
    <cfRule type="cellIs" dxfId="0" priority="9" operator="lessThan">
      <formula>VIN_op_min</formula>
    </cfRule>
    <cfRule type="cellIs" dxfId="0" priority="10" operator="greaterThan">
      <formula>VIN_op_max</formula>
    </cfRule>
  </conditionalFormatting>
  <conditionalFormatting sqref="H8">
    <cfRule type="cellIs" dxfId="0" priority="8" operator="notBetween">
      <formula>$H$7</formula>
      <formula>$H$9</formula>
    </cfRule>
  </conditionalFormatting>
  <conditionalFormatting sqref="H9">
    <cfRule type="cellIs" dxfId="0" priority="5" operator="greaterThan">
      <formula>VIN_op_max</formula>
    </cfRule>
    <cfRule type="cellIs" dxfId="0" priority="6" operator="lessThan">
      <formula>VIN_op_min</formula>
    </cfRule>
  </conditionalFormatting>
  <conditionalFormatting sqref="H12">
    <cfRule type="cellIs" dxfId="0" priority="1" operator="notBetween">
      <formula>100</formula>
      <formula>1000</formula>
    </cfRule>
  </conditionalFormatting>
  <conditionalFormatting sqref="H16">
    <cfRule type="expression" dxfId="1" priority="2">
      <formula>$H$16&gt;$H$15</formula>
    </cfRule>
  </conditionalFormatting>
  <conditionalFormatting sqref="H59">
    <cfRule type="expression" dxfId="2" priority="3">
      <formula>Loop_Modeling!$B$16&gt;$H$9</formula>
    </cfRule>
    <cfRule type="expression" dxfId="2" priority="4">
      <formula>Loop_Modeling!$B$16&lt;$H$7</formula>
    </cfRule>
  </conditionalFormatting>
  <hyperlinks>
    <hyperlink ref="O3" location="Licenses!A1" display="TERMS OF USE"/>
  </hyperlinks>
  <pageMargins left="0.2" right="0.2" top="0.25" bottom="0.25" header="0" footer="0"/>
  <pageSetup paperSize="9" scale="44" orientation="portrait"/>
  <headerFooter/>
  <drawing r:id="rId2"/>
  <legacyDrawing r:id="rId3"/>
  <mc:AlternateContent xmlns:mc="http://schemas.openxmlformats.org/markup-compatibility/2006">
    <mc:Choice Requires="x14">
      <controls>
        <mc:AlternateContent xmlns:mc="http://schemas.openxmlformats.org/markup-compatibility/2006">
          <mc:Choice Requires="x14">
            <control shapeId="1060" name="Spinner 36" r:id="rId4">
              <controlPr defaultSize="0">
                <anchor moveWithCells="1" sizeWithCells="1">
                  <from>
                    <xdr:col>7</xdr:col>
                    <xdr:colOff>751840</xdr:colOff>
                    <xdr:row>58</xdr:row>
                    <xdr:rowOff>0</xdr:rowOff>
                  </from>
                  <to>
                    <xdr:col>8</xdr:col>
                    <xdr:colOff>269240</xdr:colOff>
                    <xdr:row>60</xdr:row>
                    <xdr:rowOff>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M47"/>
  <sheetViews>
    <sheetView topLeftCell="A7" workbookViewId="0">
      <selection activeCell="A50" sqref="A50"/>
    </sheetView>
  </sheetViews>
  <sheetFormatPr defaultColWidth="9.14285714285714" defaultRowHeight="14.25"/>
  <cols>
    <col min="1" max="1" width="25.7142857142857" style="150" customWidth="1"/>
    <col min="2" max="2" width="56.5714285714286" style="151" customWidth="1"/>
    <col min="3" max="11" width="9.14285714285714" style="152"/>
    <col min="12" max="12" width="20.4285714285714" style="152" customWidth="1"/>
    <col min="13" max="16384" width="9.14285714285714" style="152"/>
  </cols>
  <sheetData>
    <row r="1" spans="1:12">
      <c r="B1" s="150"/>
      <c r="C1" s="150"/>
      <c r="D1" s="150"/>
      <c r="E1" s="150"/>
      <c r="F1" s="150"/>
      <c r="G1" s="150"/>
      <c r="H1" s="150"/>
      <c r="I1" s="150"/>
      <c r="J1" s="150"/>
      <c r="K1" s="150"/>
      <c r="L1" s="150"/>
    </row>
    <row r="2" spans="1:12">
      <c r="B2" s="150"/>
      <c r="C2" s="150"/>
      <c r="D2" s="150"/>
      <c r="E2" s="150"/>
      <c r="F2" s="150"/>
      <c r="G2" s="150"/>
      <c r="H2" s="150"/>
      <c r="I2" s="150"/>
      <c r="J2" s="150"/>
      <c r="K2" s="150"/>
      <c r="L2" s="150"/>
    </row>
    <row r="3" spans="1:12">
      <c r="B3" s="150"/>
      <c r="C3" s="150"/>
      <c r="D3" s="150"/>
      <c r="E3" s="150"/>
      <c r="F3" s="150"/>
      <c r="G3" s="150"/>
      <c r="H3" s="150"/>
      <c r="I3" s="150"/>
      <c r="J3" s="150"/>
      <c r="K3" s="150"/>
      <c r="L3" s="150"/>
    </row>
    <row r="4" spans="1:12">
      <c r="A4" s="153"/>
      <c r="B4" s="153"/>
      <c r="C4" s="153"/>
      <c r="D4" s="153"/>
      <c r="E4" s="153"/>
      <c r="F4" s="153"/>
      <c r="G4" s="153"/>
      <c r="H4" s="153"/>
      <c r="I4" s="153"/>
      <c r="J4" s="153"/>
      <c r="K4" s="153"/>
      <c r="L4" s="153"/>
    </row>
    <row r="5" spans="1:12">
      <c r="A5" s="154" t="s">
        <v>84</v>
      </c>
      <c r="B5" s="155" t="s">
        <v>85</v>
      </c>
      <c r="C5" s="156"/>
      <c r="D5" s="156"/>
      <c r="E5" s="156"/>
      <c r="F5" s="156"/>
      <c r="G5" s="156"/>
      <c r="H5" s="156"/>
      <c r="I5" s="156"/>
      <c r="J5" s="156"/>
      <c r="K5" s="157"/>
      <c r="L5" s="158"/>
    </row>
    <row r="6" spans="1:12">
      <c r="A6" s="154"/>
      <c r="B6" s="159"/>
      <c r="C6" s="156"/>
      <c r="D6" s="156"/>
      <c r="E6" s="156"/>
      <c r="F6" s="156"/>
      <c r="G6" s="156"/>
      <c r="H6" s="156"/>
      <c r="I6" s="156"/>
      <c r="J6" s="158"/>
      <c r="K6" s="158"/>
      <c r="L6" s="158"/>
    </row>
    <row r="35" spans="1:39">
      <c r="A35" s="160" t="s">
        <v>86</v>
      </c>
      <c r="B35" s="161"/>
      <c r="C35" s="156"/>
      <c r="D35" s="156"/>
      <c r="E35" s="156"/>
      <c r="F35" s="156"/>
      <c r="G35" s="156"/>
      <c r="H35" s="156"/>
      <c r="I35" s="156"/>
      <c r="J35" s="156"/>
      <c r="K35" s="156"/>
    </row>
    <row r="36" spans="1:39">
      <c r="A36" s="162" t="s">
        <v>87</v>
      </c>
      <c r="B36" s="163" t="s">
        <v>88</v>
      </c>
      <c r="C36" s="163"/>
      <c r="D36" s="163"/>
      <c r="E36" s="163"/>
      <c r="F36" s="163"/>
      <c r="G36" s="163"/>
      <c r="H36" s="163"/>
      <c r="I36" s="163"/>
      <c r="J36" s="163"/>
      <c r="K36" s="163"/>
    </row>
    <row r="37" spans="1:39">
      <c r="A37" s="160" t="s">
        <v>85</v>
      </c>
      <c r="B37" s="164" t="s">
        <v>89</v>
      </c>
      <c r="C37" s="164"/>
      <c r="D37" s="164"/>
      <c r="E37" s="164"/>
      <c r="F37" s="164"/>
      <c r="G37" s="164"/>
      <c r="H37" s="164"/>
      <c r="I37" s="164"/>
      <c r="J37" s="164"/>
      <c r="K37" s="164"/>
    </row>
    <row r="38" spans="1:39">
      <c r="A38" s="165"/>
      <c r="B38" s="166"/>
      <c r="C38" s="166"/>
      <c r="D38" s="166"/>
      <c r="E38" s="166"/>
      <c r="F38" s="166"/>
      <c r="G38" s="166"/>
      <c r="H38" s="166"/>
      <c r="I38" s="166"/>
      <c r="J38" s="166"/>
      <c r="K38" s="166"/>
    </row>
    <row r="39" spans="1:39">
      <c r="A39" s="165"/>
      <c r="B39" s="166"/>
      <c r="C39" s="166"/>
      <c r="D39" s="166"/>
      <c r="E39" s="166"/>
      <c r="F39" s="166"/>
      <c r="G39" s="166"/>
      <c r="H39" s="166"/>
      <c r="I39" s="166"/>
      <c r="J39" s="166"/>
      <c r="K39" s="166"/>
    </row>
    <row r="40" spans="1:39">
      <c r="A40" s="165"/>
      <c r="B40" s="166"/>
      <c r="C40" s="166"/>
      <c r="D40" s="166"/>
      <c r="E40" s="166"/>
      <c r="F40" s="166"/>
      <c r="G40" s="166"/>
      <c r="H40" s="166"/>
      <c r="I40" s="166"/>
      <c r="J40" s="166"/>
      <c r="K40" s="166"/>
    </row>
    <row r="41" spans="1:39">
      <c r="A41" s="165"/>
      <c r="B41" s="166"/>
      <c r="C41" s="166"/>
      <c r="D41" s="166"/>
      <c r="E41" s="166"/>
      <c r="F41" s="166"/>
      <c r="G41" s="166"/>
      <c r="H41" s="166"/>
      <c r="I41" s="166"/>
      <c r="J41" s="166"/>
      <c r="K41" s="166"/>
    </row>
    <row r="42" spans="1:39">
      <c r="A42" s="165"/>
      <c r="B42" s="166"/>
      <c r="C42" s="166"/>
      <c r="D42" s="166"/>
      <c r="E42" s="166"/>
      <c r="F42" s="166"/>
      <c r="G42" s="166"/>
      <c r="H42" s="166"/>
      <c r="I42" s="166"/>
      <c r="J42" s="166"/>
      <c r="K42" s="166"/>
    </row>
    <row r="43" spans="1:39">
      <c r="A43" s="165"/>
      <c r="B43" s="166"/>
      <c r="C43" s="166"/>
      <c r="D43" s="166"/>
      <c r="E43" s="166"/>
      <c r="F43" s="166"/>
      <c r="G43" s="166"/>
      <c r="H43" s="166"/>
      <c r="I43" s="166"/>
      <c r="J43" s="166"/>
      <c r="K43" s="166"/>
    </row>
    <row r="44" ht="15" spans="1:39">
      <c r="A44" s="165"/>
      <c r="B44" s="166"/>
      <c r="C44" s="166"/>
      <c r="D44" s="166"/>
      <c r="E44" s="166"/>
      <c r="F44" s="166"/>
      <c r="G44" s="166"/>
      <c r="H44" s="166"/>
      <c r="I44" s="166"/>
      <c r="J44" s="166"/>
      <c r="K44" s="166"/>
      <c r="L44" s="167"/>
      <c r="M44" s="167"/>
      <c r="N44" s="167"/>
      <c r="O44" s="167"/>
      <c r="P44" s="167"/>
      <c r="Q44" s="167"/>
      <c r="R44" s="167"/>
      <c r="S44" s="167"/>
      <c r="T44" s="167"/>
      <c r="U44" s="167"/>
      <c r="V44" s="167"/>
      <c r="W44" s="167"/>
      <c r="X44" s="167"/>
      <c r="Y44" s="167"/>
      <c r="Z44" s="167"/>
      <c r="AA44" s="167"/>
      <c r="AB44" s="167"/>
      <c r="AC44" s="167"/>
      <c r="AD44" s="167"/>
      <c r="AE44" s="167"/>
      <c r="AF44" s="167"/>
      <c r="AG44" s="167"/>
      <c r="AH44" s="167"/>
      <c r="AI44" s="167"/>
      <c r="AJ44" s="167"/>
      <c r="AK44" s="167"/>
      <c r="AL44" s="167"/>
      <c r="AM44" s="167"/>
    </row>
    <row r="45" spans="1:39">
      <c r="A45" s="165"/>
      <c r="B45" s="166"/>
      <c r="C45" s="166"/>
      <c r="D45" s="166"/>
      <c r="E45" s="166"/>
      <c r="F45" s="166"/>
      <c r="G45" s="166"/>
      <c r="H45" s="166"/>
      <c r="I45" s="166"/>
      <c r="J45" s="166"/>
      <c r="K45" s="166"/>
    </row>
    <row r="46" spans="1:39">
      <c r="A46" s="165"/>
      <c r="B46" s="166"/>
      <c r="C46" s="166"/>
      <c r="D46" s="166"/>
      <c r="E46" s="166"/>
      <c r="F46" s="166"/>
      <c r="G46" s="166"/>
      <c r="H46" s="166"/>
      <c r="I46" s="166"/>
      <c r="J46" s="166"/>
      <c r="K46" s="166"/>
    </row>
    <row r="47" spans="1:39">
      <c r="A47" s="165"/>
      <c r="B47" s="166"/>
    </row>
  </sheetData>
  <sheetProtection algorithmName="SHA-512" hashValue="rCkc88BxOJWQBe78FPqt7ICVbVz8nKNKE2ce/WFibG/yE/6MwiXhVzvzNZ/2E2b/sxv5Bcf6aJyMuWEv2OSzgw==" saltValue="2OMgcJZhoSr8okNqcdjVFg==" spinCount="100000" sheet="1" selectLockedCells="1" objects="1" scenarios="1"/>
  <mergeCells count="5">
    <mergeCell ref="A4:L4"/>
    <mergeCell ref="B36:K36"/>
    <mergeCell ref="B37:K37"/>
    <mergeCell ref="B38:K38"/>
    <mergeCell ref="A1:L3"/>
  </mergeCells>
  <pageMargins left="0.7" right="0.7" top="0.75" bottom="0.75" header="0.3" footer="0.3"/>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Q263"/>
  <sheetViews>
    <sheetView zoomScale="85" zoomScaleNormal="85" workbookViewId="0">
      <pane ySplit="5" topLeftCell="A6" activePane="bottomLeft" state="frozen"/>
      <selection/>
      <selection pane="bottomLeft" activeCell="C247" sqref="C247"/>
    </sheetView>
  </sheetViews>
  <sheetFormatPr defaultColWidth="9" defaultRowHeight="15"/>
  <cols>
    <col min="1" max="1" width="28.8571428571429" customWidth="1"/>
    <col min="2" max="2" width="19.5714285714286" customWidth="1"/>
    <col min="3" max="3" width="10.8571428571429" customWidth="1"/>
    <col min="4" max="4" width="10" customWidth="1"/>
    <col min="5" max="5" width="18.5714285714286" customWidth="1"/>
    <col min="6" max="6" width="14.8571428571429" customWidth="1"/>
    <col min="7" max="7" width="15.1428571428571" customWidth="1"/>
    <col min="8" max="9" width="12.5714285714286" customWidth="1"/>
    <col min="12" max="12" width="12.4285714285714" customWidth="1"/>
  </cols>
  <sheetData>
    <row r="1" ht="27.75" spans="1:17">
      <c r="A1" s="1" t="s">
        <v>90</v>
      </c>
      <c r="B1" s="1"/>
      <c r="C1" s="1"/>
      <c r="D1" s="1"/>
      <c r="E1" s="1"/>
      <c r="F1" s="1"/>
      <c r="G1" s="1"/>
      <c r="H1" s="1"/>
      <c r="I1" s="1"/>
      <c r="J1" s="1"/>
    </row>
    <row r="2" spans="1:17">
      <c r="A2" s="2"/>
      <c r="B2" s="2" t="s">
        <v>91</v>
      </c>
      <c r="C2" s="3"/>
      <c r="D2" s="4"/>
      <c r="E2" s="2"/>
      <c r="F2" s="2"/>
      <c r="G2" s="2"/>
      <c r="H2" s="2"/>
      <c r="I2" s="2"/>
      <c r="J2" s="2"/>
    </row>
    <row r="3" spans="1:17">
      <c r="A3" s="2"/>
      <c r="B3" s="2" t="s">
        <v>92</v>
      </c>
      <c r="C3" s="5"/>
      <c r="D3" s="4"/>
      <c r="E3" s="2"/>
      <c r="F3" s="20" t="s">
        <v>93</v>
      </c>
      <c r="G3" s="21" t="s">
        <v>94</v>
      </c>
      <c r="H3" s="22" t="s">
        <v>95</v>
      </c>
      <c r="I3" s="2"/>
      <c r="J3" s="2"/>
    </row>
    <row r="4" spans="1:17">
      <c r="A4" s="2"/>
      <c r="B4" s="2" t="s">
        <v>96</v>
      </c>
      <c r="C4" s="6"/>
      <c r="D4" s="4"/>
      <c r="E4" s="2"/>
      <c r="F4" s="2"/>
      <c r="G4" s="2"/>
      <c r="H4" s="2"/>
      <c r="I4" s="2"/>
      <c r="J4" s="2"/>
    </row>
    <row r="5" spans="1:17">
      <c r="A5" s="7" t="s">
        <v>97</v>
      </c>
      <c r="B5" s="7" t="s">
        <v>98</v>
      </c>
      <c r="C5" s="7" t="s">
        <v>99</v>
      </c>
      <c r="D5" s="4"/>
      <c r="E5" s="8" t="s">
        <v>100</v>
      </c>
      <c r="F5" s="8"/>
      <c r="G5" s="8"/>
      <c r="H5" s="8"/>
      <c r="I5" s="8"/>
      <c r="J5" s="41" t="s">
        <v>101</v>
      </c>
      <c r="K5" s="7" t="s">
        <v>102</v>
      </c>
      <c r="L5" s="4"/>
      <c r="M5" s="4"/>
      <c r="N5" s="4"/>
      <c r="O5" s="4"/>
      <c r="P5" s="4"/>
      <c r="Q5" s="4"/>
    </row>
    <row r="6" ht="15.75" spans="1:17">
      <c r="A6" s="116" t="s">
        <v>103</v>
      </c>
      <c r="B6" s="117"/>
      <c r="C6" s="117"/>
      <c r="D6" s="117"/>
      <c r="E6" s="118"/>
      <c r="F6" s="118"/>
      <c r="G6" s="118"/>
      <c r="H6" s="118"/>
      <c r="I6" s="118"/>
      <c r="J6" s="117"/>
      <c r="K6" s="4"/>
      <c r="L6" s="4"/>
      <c r="M6" s="4"/>
      <c r="N6" s="4"/>
      <c r="O6" s="4"/>
      <c r="P6" s="4"/>
      <c r="Q6" s="4"/>
    </row>
    <row r="7" spans="1:17">
      <c r="A7" t="s">
        <v>104</v>
      </c>
      <c r="B7" s="15">
        <f>'Design Converter'!H7</f>
        <v>3</v>
      </c>
      <c r="C7" t="s">
        <v>7</v>
      </c>
      <c r="E7" t="s">
        <v>105</v>
      </c>
    </row>
    <row r="8" spans="1:17">
      <c r="A8" t="s">
        <v>106</v>
      </c>
      <c r="B8" s="15">
        <f>'Design Converter'!H8</f>
        <v>3.7</v>
      </c>
      <c r="C8" t="s">
        <v>7</v>
      </c>
      <c r="E8" t="s">
        <v>107</v>
      </c>
      <c r="K8">
        <f>IF(VIN_min&lt;VIN_min,1,IF(VIN_nom&gt;VIN_max,1,0))</f>
        <v>0</v>
      </c>
    </row>
    <row r="9" spans="1:17">
      <c r="A9" t="s">
        <v>108</v>
      </c>
      <c r="B9" s="15">
        <f>'Design Converter'!H9</f>
        <v>12.6</v>
      </c>
      <c r="C9" t="s">
        <v>7</v>
      </c>
      <c r="E9" t="s">
        <v>109</v>
      </c>
    </row>
    <row r="10" customFormat="1" spans="1:17">
      <c r="A10" t="s">
        <v>110</v>
      </c>
      <c r="B10" s="15">
        <f>'Design Converter'!H12*1000</f>
        <v>700000</v>
      </c>
      <c r="C10" t="s">
        <v>111</v>
      </c>
      <c r="E10" t="s">
        <v>112</v>
      </c>
    </row>
    <row r="11" customFormat="1" spans="1:17">
      <c r="A11" t="s">
        <v>113</v>
      </c>
      <c r="B11" s="89">
        <f>(4.503*10^11)*Fsw^-1.26</f>
        <v>19439.2012767176</v>
      </c>
      <c r="C11" s="16" t="s">
        <v>35</v>
      </c>
      <c r="E11" t="s">
        <v>114</v>
      </c>
    </row>
    <row r="13" spans="1:17">
      <c r="A13" t="s">
        <v>115</v>
      </c>
      <c r="B13" s="15">
        <f>'Design Converter'!H10</f>
        <v>3.7</v>
      </c>
      <c r="C13" t="s">
        <v>7</v>
      </c>
      <c r="E13" t="s">
        <v>116</v>
      </c>
    </row>
    <row r="14" spans="1:17">
      <c r="A14" t="s">
        <v>117</v>
      </c>
      <c r="B14" s="15">
        <f>'Design Converter'!H11</f>
        <v>1</v>
      </c>
      <c r="C14" t="s">
        <v>12</v>
      </c>
      <c r="E14" t="s">
        <v>118</v>
      </c>
    </row>
    <row r="15" spans="1:17">
      <c r="A15" t="s">
        <v>119</v>
      </c>
      <c r="B15" s="12">
        <f>VOUT/IOUT</f>
        <v>3.7</v>
      </c>
      <c r="C15" s="16" t="s">
        <v>35</v>
      </c>
      <c r="E15" t="s">
        <v>120</v>
      </c>
    </row>
    <row r="16" spans="1:17">
      <c r="A16" t="s">
        <v>121</v>
      </c>
      <c r="B16" s="12">
        <f>VOUT*IOUT</f>
        <v>3.7</v>
      </c>
      <c r="C16" s="16" t="s">
        <v>18</v>
      </c>
      <c r="E16" t="s">
        <v>122</v>
      </c>
    </row>
    <row r="17" spans="1:11">
      <c r="A17" t="s">
        <v>123</v>
      </c>
      <c r="B17" s="119">
        <v>1</v>
      </c>
      <c r="E17" t="s">
        <v>124</v>
      </c>
    </row>
    <row r="19" spans="1:11">
      <c r="A19" t="s">
        <v>125</v>
      </c>
      <c r="B19" s="12">
        <f>(VOUT)/(VIN_min+VOUT)</f>
        <v>0.552238805970149</v>
      </c>
      <c r="E19" t="s">
        <v>126</v>
      </c>
    </row>
    <row r="20" customFormat="1" spans="1:11">
      <c r="A20" t="s">
        <v>127</v>
      </c>
      <c r="B20" s="10">
        <f>Constants!B20</f>
        <v>0.97</v>
      </c>
      <c r="E20" t="s">
        <v>128</v>
      </c>
    </row>
    <row r="21" customFormat="1" spans="1:11">
      <c r="A21" t="s">
        <v>129</v>
      </c>
      <c r="B21" s="120">
        <f>IF(B19&gt;Dc_max_IC,1,0)</f>
        <v>0</v>
      </c>
      <c r="E21" t="s">
        <v>130</v>
      </c>
      <c r="K21">
        <f>B21</f>
        <v>0</v>
      </c>
    </row>
    <row r="22" customFormat="1" spans="1:11">
      <c r="E22" s="17" t="s">
        <v>131</v>
      </c>
    </row>
    <row r="23" customFormat="1" spans="1:11">
      <c r="E23" s="17"/>
    </row>
    <row r="24" customFormat="1" spans="1:11">
      <c r="A24" t="s">
        <v>132</v>
      </c>
      <c r="B24" s="85">
        <v>1</v>
      </c>
      <c r="E24" s="121" t="s">
        <v>133</v>
      </c>
    </row>
    <row r="26" spans="1:11">
      <c r="A26" s="122" t="s">
        <v>22</v>
      </c>
    </row>
    <row r="27" customFormat="1" spans="1:11">
      <c r="A27" s="123" t="s">
        <v>134</v>
      </c>
      <c r="E27" t="s">
        <v>135</v>
      </c>
    </row>
    <row r="28" spans="1:11">
      <c r="A28" t="s">
        <v>136</v>
      </c>
      <c r="B28" s="15">
        <f>'Design Converter'!H20/100</f>
        <v>0.6</v>
      </c>
      <c r="E28" t="s">
        <v>137</v>
      </c>
    </row>
    <row r="29" customFormat="1" spans="1:11">
      <c r="A29" t="s">
        <v>138</v>
      </c>
      <c r="B29" s="124">
        <f>(VIN_nom^2)/(2*ILrip*IOUT*Fsw*(VIN_nom+VOUT))</f>
        <v>2.20238095238095e-6</v>
      </c>
      <c r="C29" t="s">
        <v>139</v>
      </c>
      <c r="E29" t="s">
        <v>140</v>
      </c>
    </row>
    <row r="31" customFormat="1" spans="1:11">
      <c r="A31" s="125" t="s">
        <v>141</v>
      </c>
      <c r="E31" t="s">
        <v>142</v>
      </c>
    </row>
    <row r="32" customFormat="1" spans="1:11">
      <c r="A32" s="121" t="s">
        <v>143</v>
      </c>
      <c r="B32" s="126">
        <v>0.7</v>
      </c>
      <c r="E32" t="s">
        <v>144</v>
      </c>
    </row>
    <row r="33" customFormat="1" spans="1:5">
      <c r="A33" t="s">
        <v>145</v>
      </c>
      <c r="B33" s="124">
        <f>((DC_DCM_max^2)*(VIN_min^2))/(2*IOUT*VOUT*Fsw-2*IOUT*VIN_min*Fsw)</f>
        <v>4.5e-6</v>
      </c>
      <c r="C33" t="s">
        <v>139</v>
      </c>
      <c r="E33" t="s">
        <v>146</v>
      </c>
    </row>
    <row r="34" customFormat="1" spans="1:5">
      <c r="A34" t="s">
        <v>147</v>
      </c>
      <c r="B34" s="10">
        <v>0.2</v>
      </c>
      <c r="E34" t="s">
        <v>148</v>
      </c>
    </row>
    <row r="35" customFormat="1" spans="1:5">
      <c r="A35" t="s">
        <v>149</v>
      </c>
      <c r="B35" s="124">
        <f>(1-M_L_DCM)*((VIN_min^2)*(1-(VIN_min/VOUT)))/(2*IOUT*VOUT*Fsw)</f>
        <v>2.62965668371074e-7</v>
      </c>
      <c r="C35" t="s">
        <v>139</v>
      </c>
      <c r="E35" t="s">
        <v>150</v>
      </c>
    </row>
    <row r="36" customFormat="1" spans="1:5">
      <c r="A36" t="s">
        <v>151</v>
      </c>
      <c r="B36" s="124">
        <f>MIN(B33,B35)</f>
        <v>2.62965668371074e-7</v>
      </c>
      <c r="C36" t="s">
        <v>139</v>
      </c>
      <c r="E36" t="s">
        <v>152</v>
      </c>
    </row>
    <row r="37" customFormat="1" spans="1:5">
      <c r="B37" s="127"/>
    </row>
    <row r="38" customFormat="1" spans="1:5">
      <c r="A38" t="s">
        <v>153</v>
      </c>
      <c r="B38" s="124">
        <f>IF(B21=1,B36,Lopt_2)</f>
        <v>2.20238095238095e-6</v>
      </c>
      <c r="E38" t="s">
        <v>154</v>
      </c>
    </row>
    <row r="39" customFormat="1"/>
    <row r="40" spans="1:5">
      <c r="A40" t="s">
        <v>155</v>
      </c>
      <c r="B40" s="128">
        <f>'Design Converter'!H22*10^-6</f>
        <v>1e-5</v>
      </c>
      <c r="C40" t="s">
        <v>139</v>
      </c>
      <c r="E40" t="s">
        <v>156</v>
      </c>
    </row>
    <row r="41" customFormat="1" spans="1:5">
      <c r="B41" s="128">
        <f>Lm</f>
        <v>1e-5</v>
      </c>
      <c r="E41" t="s">
        <v>157</v>
      </c>
    </row>
    <row r="42" customFormat="1" ht="15.6" customHeight="1" spans="1:5">
      <c r="A42" t="s">
        <v>158</v>
      </c>
      <c r="B42" s="129">
        <f>Lm</f>
        <v>1e-5</v>
      </c>
      <c r="E42" t="s">
        <v>159</v>
      </c>
    </row>
    <row r="43" customFormat="1" ht="15.6" customHeight="1" spans="1:5">
      <c r="B43" s="128">
        <f>Lm</f>
        <v>1e-5</v>
      </c>
      <c r="E43" t="s">
        <v>157</v>
      </c>
    </row>
    <row r="44" customFormat="1" spans="1:5">
      <c r="A44" t="s">
        <v>160</v>
      </c>
      <c r="B44" s="129">
        <f>Lm</f>
        <v>1e-5</v>
      </c>
      <c r="E44" t="s">
        <v>161</v>
      </c>
    </row>
    <row r="45" customFormat="1" spans="1:5">
      <c r="B45" s="129"/>
    </row>
    <row r="46" spans="1:5">
      <c r="A46" t="s">
        <v>162</v>
      </c>
      <c r="B46" s="15">
        <f>10*10^-3</f>
        <v>0.01</v>
      </c>
      <c r="C46" s="16" t="s">
        <v>35</v>
      </c>
      <c r="E46" t="s">
        <v>163</v>
      </c>
    </row>
    <row r="47" customFormat="1" spans="1:5">
      <c r="A47" t="s">
        <v>164</v>
      </c>
      <c r="B47" s="10">
        <v>0.2</v>
      </c>
      <c r="C47" s="16"/>
      <c r="E47" t="s">
        <v>165</v>
      </c>
    </row>
    <row r="48" spans="1:5">
      <c r="B48" t="s">
        <v>166</v>
      </c>
    </row>
    <row r="49" customFormat="1" spans="1:5">
      <c r="A49" s="17" t="s">
        <v>167</v>
      </c>
    </row>
    <row r="50" customFormat="1"/>
    <row r="51" customFormat="1" spans="1:5">
      <c r="A51" s="130" t="s">
        <v>168</v>
      </c>
    </row>
    <row r="52" customFormat="1" spans="1:5">
      <c r="A52" t="s">
        <v>169</v>
      </c>
      <c r="B52">
        <v>1</v>
      </c>
      <c r="E52" t="s">
        <v>170</v>
      </c>
    </row>
    <row r="53" customFormat="1" spans="1:5">
      <c r="A53" t="s">
        <v>171</v>
      </c>
      <c r="B53" s="131">
        <f>IF(B52=0,SQRT((2*IOUT*Lm*Fsw*VOUT/(VIN_min^2))),(VOUT/(VIN_min+VOUT)))</f>
        <v>0.552238805970149</v>
      </c>
      <c r="E53" t="s">
        <v>172</v>
      </c>
    </row>
    <row r="54" customFormat="1" spans="1:5">
      <c r="B54" s="11">
        <f>B53/Fsw</f>
        <v>7.88912579957356e-7</v>
      </c>
      <c r="C54" t="s">
        <v>173</v>
      </c>
      <c r="E54" t="s">
        <v>174</v>
      </c>
    </row>
    <row r="55" customFormat="1" spans="1:5">
      <c r="A55" s="132" t="s">
        <v>175</v>
      </c>
      <c r="B55" s="133"/>
    </row>
    <row r="56" customFormat="1" spans="1:5">
      <c r="A56" t="s">
        <v>176</v>
      </c>
      <c r="B56" s="90">
        <f>(VOUT*IOUT)/(VIN_min)</f>
        <v>1.23333333333333</v>
      </c>
      <c r="C56" t="s">
        <v>12</v>
      </c>
      <c r="E56" t="s">
        <v>177</v>
      </c>
    </row>
    <row r="57" customFormat="1" spans="1:5">
      <c r="A57" t="s">
        <v>178</v>
      </c>
      <c r="B57" s="88">
        <f>(VIN_min*Dc_VIN_min)/(Lm_A*Fsw)</f>
        <v>0.236673773987207</v>
      </c>
      <c r="C57" t="s">
        <v>12</v>
      </c>
      <c r="E57" t="s">
        <v>179</v>
      </c>
    </row>
    <row r="58" spans="1:5">
      <c r="A58" t="s">
        <v>180</v>
      </c>
      <c r="B58" s="88">
        <f>IF(B52=0,(VIN_min*Dc_VIN_min)/(Lm*Fsw),(ILA_avg_VIN_min/EFF_est)+(ILArip_VINmin/2))</f>
        <v>1.35167022032694</v>
      </c>
      <c r="C58" t="s">
        <v>12</v>
      </c>
      <c r="E58" t="s">
        <v>181</v>
      </c>
    </row>
    <row r="59" customFormat="1" spans="1:5">
      <c r="B59" s="11"/>
    </row>
    <row r="60" customFormat="1" spans="1:5">
      <c r="A60" s="132" t="s">
        <v>182</v>
      </c>
      <c r="B60" s="11"/>
      <c r="E60" t="s">
        <v>183</v>
      </c>
    </row>
    <row r="61" customFormat="1" spans="1:5">
      <c r="A61" t="s">
        <v>184</v>
      </c>
      <c r="B61" s="11">
        <f>IOUT</f>
        <v>1</v>
      </c>
      <c r="C61" t="s">
        <v>12</v>
      </c>
    </row>
    <row r="62" customFormat="1" spans="1:5">
      <c r="A62" t="s">
        <v>185</v>
      </c>
      <c r="B62" s="11">
        <f>(VIN_min*Dc_VIN_min)/(Lm*Fsw)</f>
        <v>0.236673773987207</v>
      </c>
      <c r="C62" t="s">
        <v>12</v>
      </c>
    </row>
    <row r="63" customFormat="1" spans="1:5">
      <c r="A63" t="s">
        <v>186</v>
      </c>
      <c r="B63" s="11">
        <f>B61+B62/2</f>
        <v>1.1183368869936</v>
      </c>
      <c r="C63" t="s">
        <v>12</v>
      </c>
    </row>
    <row r="64" customFormat="1" spans="1:5">
      <c r="B64" s="88"/>
    </row>
    <row r="65" customFormat="1" spans="1:5">
      <c r="A65" s="132" t="s">
        <v>187</v>
      </c>
      <c r="B65" s="134"/>
    </row>
    <row r="66" customFormat="1" spans="1:5">
      <c r="A66" t="s">
        <v>188</v>
      </c>
      <c r="B66" s="88">
        <f>ILA_avg_VIN_min+B61+B62</f>
        <v>2.47000710732054</v>
      </c>
      <c r="C66" t="s">
        <v>12</v>
      </c>
    </row>
    <row r="67" customFormat="1" spans="1:5">
      <c r="B67" s="134"/>
    </row>
    <row r="68" customFormat="1" spans="1:5">
      <c r="A68" s="130" t="s">
        <v>107</v>
      </c>
      <c r="B68" s="13"/>
    </row>
    <row r="69" customFormat="1" spans="1:5">
      <c r="A69" t="s">
        <v>189</v>
      </c>
      <c r="B69">
        <f>IF(((VIN_nom^2)*VOUT)/(2*Fsw*Lm*((VIN_nom+VOUT)^2))&gt;IOUT,0,1)</f>
        <v>1</v>
      </c>
      <c r="E69" t="s">
        <v>190</v>
      </c>
    </row>
    <row r="70" customFormat="1" spans="1:5">
      <c r="A70" t="s">
        <v>191</v>
      </c>
      <c r="B70" s="12">
        <f>IF(B52=0,SQRT((2*IOUT*Lm*Fsw*VOUT/(VIN_nom^2))),(VOUT/(VIN_nom+VOUT)))</f>
        <v>0.5</v>
      </c>
      <c r="E70" t="s">
        <v>192</v>
      </c>
    </row>
    <row r="71" customFormat="1" spans="1:5">
      <c r="B71" s="11">
        <f>B70/Fsw</f>
        <v>7.14285714285714e-7</v>
      </c>
      <c r="C71" t="s">
        <v>173</v>
      </c>
      <c r="E71" t="s">
        <v>174</v>
      </c>
    </row>
    <row r="72" customFormat="1" spans="1:5">
      <c r="A72" s="132" t="s">
        <v>175</v>
      </c>
      <c r="B72" s="133"/>
    </row>
    <row r="73" customFormat="1" spans="1:5">
      <c r="A73" t="s">
        <v>193</v>
      </c>
      <c r="B73" s="90">
        <f>(VOUT*IOUT)/(VIN_nom)</f>
        <v>1</v>
      </c>
      <c r="C73" t="s">
        <v>12</v>
      </c>
      <c r="E73" t="s">
        <v>194</v>
      </c>
    </row>
    <row r="74" spans="1:5">
      <c r="A74" t="s">
        <v>195</v>
      </c>
      <c r="B74" s="88">
        <f>(VIN_nom*Dc_VIN_nom)/(Lm*Fsw)</f>
        <v>0.264285714285714</v>
      </c>
      <c r="C74" t="s">
        <v>12</v>
      </c>
      <c r="E74" t="s">
        <v>196</v>
      </c>
    </row>
    <row r="75" spans="1:5">
      <c r="A75" t="s">
        <v>197</v>
      </c>
      <c r="B75" s="88">
        <f>IF(B69=0,(VIN_nom*Dc_VIN_nom)/(Lm*Fsw),(ILA_avg_VIN_nom/EFF_est)+(ILArip_VINnom/2))</f>
        <v>1.13214285714286</v>
      </c>
      <c r="C75" t="s">
        <v>12</v>
      </c>
      <c r="E75" t="s">
        <v>198</v>
      </c>
    </row>
    <row r="76" customFormat="1" spans="1:5">
      <c r="B76" s="134"/>
    </row>
    <row r="77" customFormat="1" spans="1:5">
      <c r="A77" s="132" t="s">
        <v>182</v>
      </c>
      <c r="B77" s="133"/>
    </row>
    <row r="78" customFormat="1" spans="1:5">
      <c r="A78" t="s">
        <v>199</v>
      </c>
      <c r="B78" s="11">
        <f>IOUT</f>
        <v>1</v>
      </c>
      <c r="C78" t="s">
        <v>12</v>
      </c>
      <c r="E78" t="s">
        <v>183</v>
      </c>
    </row>
    <row r="79" customFormat="1" spans="1:5">
      <c r="A79" t="s">
        <v>200</v>
      </c>
      <c r="B79" s="11">
        <f>(VIN_nom*Dc_VIN_nom)/(Lm*Fsw)</f>
        <v>0.264285714285714</v>
      </c>
      <c r="C79" t="s">
        <v>12</v>
      </c>
    </row>
    <row r="80" customFormat="1" spans="1:5">
      <c r="A80" t="s">
        <v>201</v>
      </c>
      <c r="B80" s="11">
        <f>B78+B79/2</f>
        <v>1.13214285714286</v>
      </c>
      <c r="C80" t="s">
        <v>12</v>
      </c>
    </row>
    <row r="81" customFormat="1" spans="1:5">
      <c r="B81" s="134"/>
    </row>
    <row r="82" customFormat="1" spans="1:5">
      <c r="A82" s="132" t="s">
        <v>187</v>
      </c>
      <c r="B82" s="134"/>
    </row>
    <row r="83" customFormat="1" spans="1:5">
      <c r="A83" t="s">
        <v>202</v>
      </c>
      <c r="B83" s="88">
        <f>ILA_avg_VIN_nom+B78+B79</f>
        <v>2.26428571428571</v>
      </c>
      <c r="C83" t="s">
        <v>12</v>
      </c>
    </row>
    <row r="84" customFormat="1" spans="1:5">
      <c r="B84" s="13"/>
    </row>
    <row r="85" customFormat="1" spans="1:5">
      <c r="A85" s="130" t="s">
        <v>109</v>
      </c>
      <c r="B85" s="13"/>
    </row>
    <row r="86" customFormat="1" spans="1:5">
      <c r="A86" t="s">
        <v>203</v>
      </c>
      <c r="B86">
        <f>IF(((VIN_nom^2)*VOUT)/(2*Fsw*Lm*((VIN_nom+VOUT)^2))&gt;IOUT,0,1)</f>
        <v>1</v>
      </c>
      <c r="E86" t="s">
        <v>190</v>
      </c>
    </row>
    <row r="87" customFormat="1" spans="1:5">
      <c r="A87" t="s">
        <v>204</v>
      </c>
      <c r="B87" s="12">
        <f>IF(B86=0,SQRT((2*IOUT*Lm*Fsw*VOUT/(VIN_max^2))),(VOUT/(VIN_max+VOUT)))</f>
        <v>0.226993865030675</v>
      </c>
      <c r="E87" t="s">
        <v>205</v>
      </c>
    </row>
    <row r="88" customFormat="1" spans="1:5">
      <c r="B88" s="11">
        <f>B87/Fsw</f>
        <v>3.24276950043821e-7</v>
      </c>
      <c r="C88" t="s">
        <v>173</v>
      </c>
      <c r="E88" t="s">
        <v>174</v>
      </c>
    </row>
    <row r="89" customFormat="1" spans="1:5">
      <c r="A89" s="132" t="s">
        <v>175</v>
      </c>
      <c r="B89" s="133"/>
    </row>
    <row r="90" customFormat="1" spans="1:5">
      <c r="A90" t="s">
        <v>206</v>
      </c>
      <c r="B90" s="90">
        <f>(VOUT*IOUT)/(VIN_max)</f>
        <v>0.293650793650794</v>
      </c>
      <c r="C90" t="s">
        <v>12</v>
      </c>
      <c r="E90" t="s">
        <v>207</v>
      </c>
    </row>
    <row r="91" spans="1:5">
      <c r="A91" t="s">
        <v>208</v>
      </c>
      <c r="B91" s="88">
        <f>(VIN_max*Dc_VIN_max)/(Lm*Fsw)</f>
        <v>0.408588957055215</v>
      </c>
      <c r="C91" t="s">
        <v>12</v>
      </c>
      <c r="E91" t="s">
        <v>209</v>
      </c>
    </row>
    <row r="92" spans="1:5">
      <c r="A92" t="s">
        <v>210</v>
      </c>
      <c r="B92" s="88">
        <f>ILA_avg_VIN_max+ILArip_VINmax/2</f>
        <v>0.497945272178401</v>
      </c>
      <c r="C92" t="s">
        <v>12</v>
      </c>
      <c r="E92" t="s">
        <v>211</v>
      </c>
    </row>
    <row r="94" customFormat="1" spans="1:5">
      <c r="A94" s="132" t="s">
        <v>182</v>
      </c>
      <c r="B94" s="133"/>
      <c r="E94" t="s">
        <v>183</v>
      </c>
    </row>
    <row r="95" customFormat="1" spans="1:5">
      <c r="A95" t="s">
        <v>212</v>
      </c>
      <c r="B95" s="11">
        <f>IOUT</f>
        <v>1</v>
      </c>
      <c r="C95" t="s">
        <v>12</v>
      </c>
    </row>
    <row r="96" customFormat="1" spans="1:5">
      <c r="A96" t="s">
        <v>213</v>
      </c>
      <c r="B96" s="11">
        <f>(VIN_max*Dc_VIN_max)/(Lm*Fsw)</f>
        <v>0.408588957055215</v>
      </c>
      <c r="C96" t="s">
        <v>12</v>
      </c>
    </row>
    <row r="97" customFormat="1" spans="1:5">
      <c r="A97" t="s">
        <v>214</v>
      </c>
      <c r="B97" s="11">
        <f>B95+B96/2</f>
        <v>1.20429447852761</v>
      </c>
      <c r="C97" t="s">
        <v>12</v>
      </c>
    </row>
    <row r="98" customFormat="1" spans="1:5">
      <c r="B98" s="88"/>
    </row>
    <row r="99" customFormat="1" spans="1:5">
      <c r="A99" s="132" t="s">
        <v>187</v>
      </c>
      <c r="B99" s="134"/>
    </row>
    <row r="100" customFormat="1" spans="1:5">
      <c r="A100" t="s">
        <v>215</v>
      </c>
      <c r="B100" s="88">
        <f>ILA_avg_VIN_max+B95+B96</f>
        <v>1.70223975070601</v>
      </c>
      <c r="C100" t="s">
        <v>12</v>
      </c>
    </row>
    <row r="101" customFormat="1" spans="1:5">
      <c r="B101" s="134"/>
    </row>
    <row r="102" spans="1:5">
      <c r="A102" s="122" t="s">
        <v>216</v>
      </c>
    </row>
    <row r="103" spans="1:5">
      <c r="A103" t="s">
        <v>217</v>
      </c>
      <c r="B103" s="15">
        <f>'Design Converter'!H26/100</f>
        <v>0.3</v>
      </c>
      <c r="E103" t="s">
        <v>218</v>
      </c>
    </row>
    <row r="104" spans="1:5">
      <c r="A104" t="s">
        <v>219</v>
      </c>
      <c r="B104" s="90">
        <f>(1+Ipk_margin)*ISW_peak_VIN_min</f>
        <v>3.2110092395167</v>
      </c>
      <c r="C104" t="s">
        <v>12</v>
      </c>
      <c r="E104" t="s">
        <v>220</v>
      </c>
    </row>
    <row r="105" customFormat="1" spans="1:5">
      <c r="B105" s="135"/>
    </row>
    <row r="106" customFormat="1" spans="1:5">
      <c r="A106" t="s">
        <v>221</v>
      </c>
      <c r="B106" s="10">
        <v>0.6</v>
      </c>
      <c r="E106" t="s">
        <v>222</v>
      </c>
    </row>
    <row r="107" spans="1:5">
      <c r="A107" t="s">
        <v>223</v>
      </c>
      <c r="B107" s="124">
        <f>(1/B106)*((Fsw*Isl*Rsl_int*Lm)/(VOUT))</f>
        <v>0.271171171171171</v>
      </c>
      <c r="C107" s="16" t="s">
        <v>35</v>
      </c>
      <c r="E107" t="s">
        <v>224</v>
      </c>
    </row>
    <row r="108" spans="1:5">
      <c r="A108" t="s">
        <v>225</v>
      </c>
      <c r="B108" s="124">
        <f>Vcl/Ipk_selected</f>
        <v>0.048582856156303</v>
      </c>
      <c r="C108" s="16" t="s">
        <v>35</v>
      </c>
      <c r="E108" t="s">
        <v>226</v>
      </c>
    </row>
    <row r="109" customFormat="1" spans="1:5">
      <c r="B109" s="13"/>
    </row>
    <row r="110" customFormat="1" spans="1:5">
      <c r="A110" t="s">
        <v>227</v>
      </c>
      <c r="B110" s="10">
        <v>0.833</v>
      </c>
      <c r="E110" t="s">
        <v>228</v>
      </c>
    </row>
    <row r="111" spans="1:5">
      <c r="A111" t="s">
        <v>229</v>
      </c>
      <c r="B111" s="136">
        <f>(Lm*Fsw*(Vcl+(Dc_VIN_min*Isl*Rsl_int)))/((Dc_VIN_min*Kslope*VOUT)+(Ipk_selected*Lm*Fsw))</f>
        <v>0.0589123081012026</v>
      </c>
      <c r="C111" s="16" t="s">
        <v>35</v>
      </c>
      <c r="E111" t="s">
        <v>230</v>
      </c>
    </row>
    <row r="112" spans="1:5">
      <c r="A112" t="s">
        <v>231</v>
      </c>
      <c r="B112" s="88">
        <f>(Vcl-(Ipk_selected*Rcs_w_sl))/(Isl*Dc_VIN_min)</f>
        <v>-1396.76536611722</v>
      </c>
      <c r="C112" s="16" t="s">
        <v>35</v>
      </c>
      <c r="E112" t="s">
        <v>232</v>
      </c>
    </row>
    <row r="114" spans="1:11">
      <c r="A114" t="s">
        <v>233</v>
      </c>
      <c r="B114" s="12">
        <f>IF(Rcs_wo_sl&gt;Rcs_max,1,0)</f>
        <v>0</v>
      </c>
      <c r="E114" t="s">
        <v>234</v>
      </c>
    </row>
    <row r="115" spans="1:11">
      <c r="A115" t="s">
        <v>235</v>
      </c>
      <c r="B115" s="137">
        <f>IF(B52=0,Rcs_wo_sl,IF(B114=0,Rcs_wo_sl,Rcs_w_sl))</f>
        <v>0.048582856156303</v>
      </c>
      <c r="C115" s="16" t="s">
        <v>35</v>
      </c>
      <c r="E115" t="s">
        <v>236</v>
      </c>
    </row>
    <row r="116" spans="1:11">
      <c r="A116" t="s">
        <v>237</v>
      </c>
      <c r="B116" s="12">
        <f>IF(B52=0,0,IF(B114=0,0,B112))</f>
        <v>0</v>
      </c>
      <c r="C116" s="16" t="s">
        <v>35</v>
      </c>
      <c r="E116" t="s">
        <v>238</v>
      </c>
    </row>
    <row r="118" spans="1:11">
      <c r="A118" t="s">
        <v>239</v>
      </c>
      <c r="B118" s="138">
        <f>'Design Converter'!H30/1000</f>
        <v>0.01</v>
      </c>
      <c r="C118" s="16" t="s">
        <v>35</v>
      </c>
      <c r="E118" t="s">
        <v>240</v>
      </c>
    </row>
    <row r="119" spans="1:11">
      <c r="A119" t="s">
        <v>241</v>
      </c>
      <c r="B119" s="15">
        <f>'Design Converter'!H31</f>
        <v>0</v>
      </c>
      <c r="C119" s="16" t="s">
        <v>35</v>
      </c>
      <c r="E119" t="s">
        <v>242</v>
      </c>
    </row>
    <row r="121" spans="1:11">
      <c r="A121" t="s">
        <v>243</v>
      </c>
      <c r="B121" s="12">
        <f>(Isl*(Rsl_int+R_sl)*Fsw)/(((VOUT-VIN_min)/Lm)*R_cs)</f>
        <v>86</v>
      </c>
      <c r="C121" t="s">
        <v>244</v>
      </c>
      <c r="E121" t="s">
        <v>245</v>
      </c>
      <c r="K121">
        <f>IF(B69=0,0,IF(B121&lt;0.5,1,0))</f>
        <v>0</v>
      </c>
    </row>
    <row r="122" customFormat="1" spans="1:11">
      <c r="A122" t="s">
        <v>246</v>
      </c>
      <c r="B122" s="90">
        <f>(Vcl-(Isl*R_sl*Dc_VIN_min))/R_cs</f>
        <v>15.6</v>
      </c>
      <c r="C122" t="s">
        <v>12</v>
      </c>
      <c r="E122" t="s">
        <v>247</v>
      </c>
      <c r="K122">
        <f>IF(IL_pk&lt;Ipk_selected,1,0)</f>
        <v>0</v>
      </c>
    </row>
    <row r="123" spans="1:11">
      <c r="A123" t="s">
        <v>248</v>
      </c>
      <c r="B123" s="90">
        <f>(Vcl-(Isl*R_sl*Dc_VIN_max))/R_cs</f>
        <v>15.6</v>
      </c>
      <c r="C123" t="s">
        <v>12</v>
      </c>
      <c r="E123" t="s">
        <v>249</v>
      </c>
    </row>
    <row r="124" spans="1:11">
      <c r="A124" t="s">
        <v>250</v>
      </c>
      <c r="B124" s="12">
        <f>0.15</f>
        <v>0.15</v>
      </c>
      <c r="E124" t="s">
        <v>251</v>
      </c>
    </row>
    <row r="125" spans="1:11">
      <c r="A125" t="s">
        <v>252</v>
      </c>
      <c r="B125" s="88">
        <f>(1+B124)*B123</f>
        <v>17.94</v>
      </c>
      <c r="C125" t="s">
        <v>12</v>
      </c>
      <c r="E125" t="s">
        <v>253</v>
      </c>
    </row>
    <row r="127" spans="1:11">
      <c r="A127" s="130" t="s">
        <v>254</v>
      </c>
    </row>
    <row r="129" customFormat="1" spans="1:5">
      <c r="A129" s="139" t="s">
        <v>255</v>
      </c>
    </row>
    <row r="130" customFormat="1" spans="1:5">
      <c r="A130" t="s">
        <v>256</v>
      </c>
      <c r="B130" s="10">
        <v>0.05</v>
      </c>
    </row>
    <row r="131" customFormat="1" spans="1:5">
      <c r="A131" t="s">
        <v>257</v>
      </c>
      <c r="B131" s="12">
        <f>IOUT*Dc_VIN_min/(VIN_max*VCrr*Fsw)</f>
        <v>1.2522421904085e-6</v>
      </c>
      <c r="C131" t="s">
        <v>258</v>
      </c>
      <c r="E131" t="s">
        <v>259</v>
      </c>
    </row>
    <row r="132" customFormat="1" spans="1:5">
      <c r="A132" t="s">
        <v>260</v>
      </c>
      <c r="B132" s="85">
        <f>'Design Converter'!H36*(10^-6)</f>
        <v>1e-5</v>
      </c>
      <c r="C132" t="s">
        <v>258</v>
      </c>
      <c r="E132" t="s">
        <v>261</v>
      </c>
    </row>
    <row r="133" customFormat="1" spans="1:5">
      <c r="A133" t="s">
        <v>262</v>
      </c>
      <c r="B133" s="90">
        <f>(IOUT*Dc_VIN_min)/(Cac*Fsw)</f>
        <v>0.0788912579957356</v>
      </c>
      <c r="C133" t="s">
        <v>7</v>
      </c>
      <c r="E133" t="s">
        <v>263</v>
      </c>
    </row>
    <row r="134" customFormat="1" spans="1:5">
      <c r="A134" t="s">
        <v>264</v>
      </c>
      <c r="B134" s="90">
        <f>IOUT*SQRT(VOUT/VIN_min)</f>
        <v>1.11055541659718</v>
      </c>
      <c r="C134" t="s">
        <v>12</v>
      </c>
      <c r="E134" t="s">
        <v>265</v>
      </c>
    </row>
    <row r="135" customFormat="1"/>
    <row r="137" spans="1:5">
      <c r="A137" s="139" t="s">
        <v>44</v>
      </c>
      <c r="E137" t="s">
        <v>266</v>
      </c>
    </row>
    <row r="139" customFormat="1" spans="1:5">
      <c r="A139" t="s">
        <v>267</v>
      </c>
      <c r="B139" s="12">
        <f>IF(B52=0,Fsw/20,(((VOUT/IOUT)*((1-Dc_VIN_min)^2))/(Lm*Dc_VIN_min))/6)</f>
        <v>22388.0597014925</v>
      </c>
      <c r="C139" t="s">
        <v>268</v>
      </c>
      <c r="E139" t="s">
        <v>269</v>
      </c>
    </row>
    <row r="140" spans="1:5">
      <c r="A140" t="s">
        <v>270</v>
      </c>
      <c r="B140" s="85">
        <f>'Design Converter'!H40/1000</f>
        <v>0.5</v>
      </c>
      <c r="C140" t="s">
        <v>7</v>
      </c>
      <c r="E140" t="s">
        <v>271</v>
      </c>
    </row>
    <row r="141" customFormat="1" spans="1:5">
      <c r="A141" t="s">
        <v>272</v>
      </c>
      <c r="B141" s="12">
        <f>IOUT-0.5*IOUT</f>
        <v>0.5</v>
      </c>
      <c r="C141" t="s">
        <v>12</v>
      </c>
    </row>
    <row r="142" spans="1:5">
      <c r="A142" t="s">
        <v>273</v>
      </c>
      <c r="B142" s="12">
        <f>B141/(Vout_rip_sel*B139)</f>
        <v>4.46666666666667e-5</v>
      </c>
      <c r="C142" t="s">
        <v>258</v>
      </c>
      <c r="E142" t="s">
        <v>274</v>
      </c>
    </row>
    <row r="143" spans="1:5">
      <c r="A143" t="s">
        <v>275</v>
      </c>
      <c r="B143" s="88">
        <f>IOUT*SQRT(VOUT/VIN_min)</f>
        <v>1.11055541659718</v>
      </c>
      <c r="C143" t="s">
        <v>12</v>
      </c>
      <c r="E143" t="s">
        <v>276</v>
      </c>
    </row>
    <row r="144" spans="1:5">
      <c r="A144" t="s">
        <v>277</v>
      </c>
      <c r="B144" s="15">
        <f>'Design Converter'!H43*(10^-6)</f>
        <v>0.00056</v>
      </c>
      <c r="C144" t="s">
        <v>258</v>
      </c>
      <c r="E144" t="s">
        <v>278</v>
      </c>
    </row>
    <row r="145" spans="1:6">
      <c r="A145" t="s">
        <v>279</v>
      </c>
      <c r="B145" s="15">
        <f>'Design Converter'!H44/1000</f>
        <v>0.028</v>
      </c>
      <c r="C145" s="16" t="s">
        <v>35</v>
      </c>
      <c r="E145" t="s">
        <v>280</v>
      </c>
    </row>
    <row r="146" customFormat="1"/>
    <row r="147" customFormat="1" spans="1:6">
      <c r="A147" s="139" t="s">
        <v>281</v>
      </c>
    </row>
    <row r="148" customFormat="1" spans="1:6">
      <c r="A148" t="s">
        <v>282</v>
      </c>
      <c r="B148" s="10">
        <f>Iss</f>
        <v>4</v>
      </c>
      <c r="C148" t="s">
        <v>283</v>
      </c>
      <c r="E148" t="s">
        <v>284</v>
      </c>
    </row>
    <row r="149" customFormat="1" spans="1:6">
      <c r="A149" s="140"/>
      <c r="B149" s="140"/>
      <c r="C149" s="140"/>
      <c r="D149" s="140"/>
      <c r="E149" s="140"/>
      <c r="F149" s="140"/>
    </row>
    <row r="150" customFormat="1" spans="1:6">
      <c r="A150" s="140"/>
      <c r="B150" s="140"/>
      <c r="C150" s="140"/>
      <c r="D150" s="140"/>
      <c r="E150" s="140"/>
      <c r="F150" s="140"/>
    </row>
    <row r="151" customFormat="1" spans="1:6">
      <c r="A151" s="140"/>
      <c r="B151" s="140"/>
      <c r="C151" s="140"/>
      <c r="D151" s="140"/>
      <c r="E151" s="140"/>
      <c r="F151" s="140"/>
    </row>
    <row r="152" customFormat="1"/>
    <row r="153" customFormat="1" spans="1:6">
      <c r="A153" s="139" t="s">
        <v>285</v>
      </c>
    </row>
    <row r="154" customFormat="1" spans="1:6">
      <c r="A154" s="13" t="s">
        <v>286</v>
      </c>
      <c r="B154" s="13"/>
      <c r="C154" s="13"/>
      <c r="D154" s="13"/>
      <c r="E154" s="13"/>
    </row>
    <row r="155" customFormat="1" spans="1:6">
      <c r="A155" s="13"/>
      <c r="B155" s="13"/>
      <c r="C155" s="13"/>
      <c r="D155" s="13"/>
      <c r="E155" s="13"/>
    </row>
    <row r="156" customFormat="1" spans="1:6">
      <c r="A156" s="13"/>
      <c r="B156" s="13"/>
      <c r="C156" s="13"/>
      <c r="D156" s="13"/>
      <c r="E156" s="13"/>
    </row>
    <row r="157" customFormat="1" spans="1:6">
      <c r="A157" s="13"/>
      <c r="B157" s="13"/>
      <c r="C157" s="13"/>
      <c r="D157" s="13"/>
      <c r="E157" s="13"/>
    </row>
    <row r="158" customFormat="1" spans="1:6">
      <c r="A158" s="13"/>
      <c r="B158" s="13"/>
      <c r="C158" s="13"/>
      <c r="D158" s="13"/>
      <c r="E158" s="13"/>
    </row>
    <row r="159" customFormat="1" spans="1:6">
      <c r="A159" s="13"/>
      <c r="B159" s="141"/>
      <c r="C159" s="142"/>
      <c r="D159" s="13"/>
      <c r="E159" s="13"/>
    </row>
    <row r="160" customFormat="1" spans="1:6">
      <c r="A160" s="13"/>
      <c r="B160" s="13"/>
      <c r="C160" s="142"/>
      <c r="D160" s="13"/>
      <c r="E160" s="13"/>
    </row>
    <row r="161" customFormat="1" spans="1:5">
      <c r="A161" s="13"/>
      <c r="B161" s="141"/>
      <c r="C161" s="142"/>
      <c r="D161" s="13"/>
      <c r="E161" s="13"/>
    </row>
    <row r="162" customFormat="1" spans="1:5">
      <c r="A162" s="13"/>
      <c r="B162" s="135"/>
      <c r="C162" s="13"/>
      <c r="D162" s="13"/>
      <c r="E162" s="13"/>
    </row>
    <row r="163" customFormat="1" spans="1:5">
      <c r="A163" s="13"/>
      <c r="B163" s="135"/>
      <c r="C163" s="13"/>
      <c r="D163" s="13"/>
      <c r="E163" s="13"/>
    </row>
    <row r="164" customFormat="1"/>
    <row r="165" customFormat="1"/>
    <row r="166" spans="1:5">
      <c r="A166" s="139" t="s">
        <v>287</v>
      </c>
    </row>
    <row r="167" customFormat="1" spans="1:5">
      <c r="A167" s="143" t="s">
        <v>288</v>
      </c>
      <c r="B167" s="15" t="str">
        <f>'Design Converter'!H59</f>
        <v>3V</v>
      </c>
      <c r="C167" t="s">
        <v>7</v>
      </c>
      <c r="E167" t="s">
        <v>289</v>
      </c>
    </row>
    <row r="168" customFormat="1" spans="1:5">
      <c r="A168" s="143"/>
      <c r="B168" s="13"/>
    </row>
    <row r="169" spans="1:5">
      <c r="A169" s="17" t="s">
        <v>290</v>
      </c>
    </row>
    <row r="170" customFormat="1" spans="1:5">
      <c r="A170" t="s">
        <v>291</v>
      </c>
      <c r="B170" s="15">
        <f>'Design Converter'!H62*(10^3)</f>
        <v>15000</v>
      </c>
      <c r="C170" s="16" t="s">
        <v>35</v>
      </c>
      <c r="E170" t="s">
        <v>292</v>
      </c>
    </row>
    <row r="171" customFormat="1" spans="1:5">
      <c r="A171" t="s">
        <v>293</v>
      </c>
      <c r="B171" s="89">
        <f>(RFBT*Vref)/(VOUT-Vref)</f>
        <v>7745.90163934426</v>
      </c>
      <c r="C171" s="16" t="s">
        <v>35</v>
      </c>
      <c r="E171" t="s">
        <v>294</v>
      </c>
    </row>
    <row r="172" spans="1:5">
      <c r="A172" t="s">
        <v>295</v>
      </c>
      <c r="B172" s="15">
        <f>'Design Converter'!H64*(10^3)</f>
        <v>7750</v>
      </c>
      <c r="C172" s="16" t="s">
        <v>35</v>
      </c>
      <c r="E172" t="s">
        <v>296</v>
      </c>
    </row>
    <row r="173" spans="1:5">
      <c r="A173" t="s">
        <v>297</v>
      </c>
      <c r="B173" s="12">
        <f>VOUT/(RFBB+RFBT)</f>
        <v>0.000162637362637363</v>
      </c>
      <c r="C173" s="16" t="s">
        <v>12</v>
      </c>
      <c r="E173" t="s">
        <v>298</v>
      </c>
    </row>
    <row r="174" customFormat="1" spans="1:5">
      <c r="B174" s="13"/>
      <c r="C174" s="16"/>
    </row>
    <row r="175" customFormat="1" spans="1:5">
      <c r="A175" s="17" t="s">
        <v>299</v>
      </c>
      <c r="E175" t="s">
        <v>300</v>
      </c>
    </row>
    <row r="176" customFormat="1"/>
    <row r="177" customFormat="1" spans="1:5">
      <c r="A177" s="130" t="s">
        <v>301</v>
      </c>
    </row>
    <row r="178" customFormat="1" spans="1:5">
      <c r="A178" t="s">
        <v>302</v>
      </c>
      <c r="B178">
        <f>(Gcomp*(VOUT/IOUT)*(1-Dc_VIN_min))/(R_cs*Acs*(1+Dc_VIN_min))</f>
        <v>96.0576923076923</v>
      </c>
    </row>
    <row r="179" customFormat="1"/>
    <row r="180" customFormat="1" spans="1:5">
      <c r="A180" t="s">
        <v>303</v>
      </c>
      <c r="B180" s="10">
        <f>(1+Dc_VIN_min)/(Cout*(VOUT/IOUT))</f>
        <v>749.150002881346</v>
      </c>
      <c r="C180" t="s">
        <v>304</v>
      </c>
      <c r="E180" t="s">
        <v>305</v>
      </c>
    </row>
    <row r="181" customFormat="1" spans="1:5">
      <c r="A181" t="s">
        <v>306</v>
      </c>
      <c r="B181" s="12">
        <f>B180/(2*PI())</f>
        <v>119.230926075874</v>
      </c>
      <c r="C181" t="s">
        <v>111</v>
      </c>
      <c r="E181" t="s">
        <v>307</v>
      </c>
    </row>
    <row r="182" customFormat="1" spans="1:5">
      <c r="B182" s="13"/>
    </row>
    <row r="183" customFormat="1" spans="1:5">
      <c r="A183" t="s">
        <v>308</v>
      </c>
      <c r="B183" s="10">
        <f>1/(Cout*Resr)</f>
        <v>63775.5102040816</v>
      </c>
      <c r="C183" t="s">
        <v>309</v>
      </c>
      <c r="E183" t="s">
        <v>310</v>
      </c>
    </row>
    <row r="184" customFormat="1" spans="1:5">
      <c r="A184" t="s">
        <v>311</v>
      </c>
      <c r="B184" s="12">
        <f>B183/(2*PI())</f>
        <v>10150.1876971872</v>
      </c>
      <c r="C184" t="s">
        <v>111</v>
      </c>
      <c r="E184" t="s">
        <v>312</v>
      </c>
    </row>
    <row r="185" customFormat="1" spans="1:5">
      <c r="B185" s="13"/>
    </row>
    <row r="186" customFormat="1" spans="1:5">
      <c r="A186" t="s">
        <v>313</v>
      </c>
      <c r="B186" s="10">
        <f>((VOUT/IOUT)*((1-Dc_VIN_min)^2))/(Lm*Dc_VIN_min)</f>
        <v>134328.358208955</v>
      </c>
      <c r="E186" t="s">
        <v>314</v>
      </c>
    </row>
    <row r="187" customFormat="1" spans="1:5">
      <c r="A187" t="s">
        <v>315</v>
      </c>
      <c r="B187" s="89">
        <f>B186/(2*PI())</f>
        <v>21379.022206374</v>
      </c>
      <c r="C187" t="s">
        <v>111</v>
      </c>
      <c r="E187" t="s">
        <v>316</v>
      </c>
    </row>
    <row r="188" customFormat="1" spans="1:5">
      <c r="B188" s="13">
        <f>Fsw/10</f>
        <v>70000</v>
      </c>
      <c r="C188" t="s">
        <v>111</v>
      </c>
      <c r="E188" t="s">
        <v>317</v>
      </c>
    </row>
    <row r="189" customFormat="1" spans="1:5">
      <c r="B189">
        <f>IF((B187/5)&lt;(B188),0,1)</f>
        <v>0</v>
      </c>
      <c r="E189" t="s">
        <v>318</v>
      </c>
    </row>
    <row r="190" customFormat="1"/>
    <row r="191" customFormat="1" spans="1:5">
      <c r="A191" t="s">
        <v>319</v>
      </c>
      <c r="B191" s="12">
        <f>(Isl*(Rsl_int+R_sl)*Fsw)</f>
        <v>60200</v>
      </c>
      <c r="C191" t="s">
        <v>244</v>
      </c>
      <c r="E191" t="s">
        <v>320</v>
      </c>
    </row>
    <row r="192" customFormat="1" spans="1:5">
      <c r="A192" t="s">
        <v>321</v>
      </c>
      <c r="B192" s="12">
        <f>(R_cs*VIN_min*Acs)/Lm</f>
        <v>3000</v>
      </c>
      <c r="C192" t="s">
        <v>244</v>
      </c>
      <c r="E192" t="s">
        <v>322</v>
      </c>
    </row>
    <row r="193" customFormat="1" spans="1:5">
      <c r="B193" s="12"/>
    </row>
    <row r="194" customFormat="1" spans="1:5">
      <c r="A194" t="s">
        <v>323</v>
      </c>
      <c r="B194" s="12">
        <f>2*PI()*Fsw</f>
        <v>4398229.71502571</v>
      </c>
      <c r="C194" t="s">
        <v>324</v>
      </c>
    </row>
    <row r="195" customFormat="1" spans="1:5">
      <c r="A195" t="s">
        <v>325</v>
      </c>
      <c r="B195" s="12">
        <f>1/(PI()*(((1-Dc_VIN_min)*(1+(B191/B192)))-0.5))</f>
        <v>0.035633688177634</v>
      </c>
    </row>
    <row r="196" customFormat="1" spans="1:5">
      <c r="E196">
        <f>fcross</f>
        <v>700</v>
      </c>
    </row>
    <row r="197" customFormat="1" spans="1:5">
      <c r="B197" s="13"/>
    </row>
    <row r="198" customFormat="1" spans="1:5">
      <c r="A198" t="s">
        <v>326</v>
      </c>
      <c r="B198" s="90">
        <f>IF(B189=0,fz_rhp/6,Fsw/10)</f>
        <v>3563.170367729</v>
      </c>
      <c r="C198" t="s">
        <v>111</v>
      </c>
      <c r="E198" t="s">
        <v>327</v>
      </c>
    </row>
    <row r="199" customFormat="1"/>
    <row r="200" customFormat="1"/>
    <row r="201" customFormat="1" spans="1:5">
      <c r="A201" t="s">
        <v>328</v>
      </c>
      <c r="B201" s="144">
        <f>SQRT(B181*fcross)</f>
        <v>288.897297067854</v>
      </c>
      <c r="C201" t="s">
        <v>111</v>
      </c>
      <c r="E201" t="s">
        <v>329</v>
      </c>
    </row>
    <row r="202" customFormat="1" spans="1:5">
      <c r="A202" t="s">
        <v>330</v>
      </c>
      <c r="B202" s="145">
        <f>fz_rhp</f>
        <v>21379.022206374</v>
      </c>
      <c r="C202" t="s">
        <v>111</v>
      </c>
      <c r="E202" t="s">
        <v>331</v>
      </c>
    </row>
    <row r="203" customFormat="1" spans="1:5">
      <c r="A203" t="s">
        <v>332</v>
      </c>
      <c r="B203" s="15">
        <f>fcross</f>
        <v>700</v>
      </c>
      <c r="C203" t="s">
        <v>111</v>
      </c>
      <c r="E203" t="s">
        <v>333</v>
      </c>
    </row>
    <row r="204" customFormat="1"/>
    <row r="205" customFormat="1"/>
    <row r="206" customFormat="1" spans="1:5">
      <c r="A206" t="s">
        <v>334</v>
      </c>
      <c r="B206" s="90">
        <f>(2*PI()*Acs*Cout*R_cs*VOUT*fcross)/(Gcomp*Vref*gm_ea*(1-Dc_VIN_min))</f>
        <v>224.345914887834</v>
      </c>
      <c r="C206" s="16" t="s">
        <v>35</v>
      </c>
      <c r="E206" t="s">
        <v>335</v>
      </c>
    </row>
    <row r="207" customFormat="1" spans="1:5">
      <c r="A207" t="s">
        <v>336</v>
      </c>
      <c r="B207" s="11">
        <f>1/(2*PI()*fz_ea_est*Rcomp_calc_CCM)</f>
        <v>2.45560487658011e-6</v>
      </c>
      <c r="C207" s="16" t="s">
        <v>258</v>
      </c>
      <c r="E207" t="s">
        <v>337</v>
      </c>
    </row>
    <row r="208" customFormat="1" spans="1:5">
      <c r="A208" t="s">
        <v>338</v>
      </c>
      <c r="B208" s="146">
        <f>(IOUT*Lm)/(Rcomp_calc_CCM*((1-Dc_VIN_min)^2)*(VIN_min+VOUT))</f>
        <v>3.31828838878855e-8</v>
      </c>
      <c r="C208" t="s">
        <v>258</v>
      </c>
      <c r="E208" t="s">
        <v>339</v>
      </c>
    </row>
    <row r="211" spans="1:5">
      <c r="A211" s="130" t="s">
        <v>340</v>
      </c>
      <c r="E211" s="17" t="s">
        <v>341</v>
      </c>
    </row>
    <row r="212" customFormat="1"/>
    <row r="213" customFormat="1" spans="1:5">
      <c r="A213" t="s">
        <v>342</v>
      </c>
      <c r="B213">
        <f>Fsw/((R_cs*Acs*(VIN_min/Lm))+((R_sl+Rsl_int)*Isl))</f>
        <v>233.326644636187</v>
      </c>
      <c r="C213" t="s">
        <v>244</v>
      </c>
      <c r="E213" t="s">
        <v>343</v>
      </c>
    </row>
    <row r="214" customFormat="1" spans="1:5">
      <c r="A214" t="s">
        <v>344</v>
      </c>
      <c r="B214">
        <f>(B213*2*VOUT/Dc_VIN_min)*(((VOUT/VIN_min)-1)/((2*VOUT/VIN_min)-1))</f>
        <v>497.409983338054</v>
      </c>
      <c r="C214" t="s">
        <v>244</v>
      </c>
    </row>
    <row r="215" customFormat="1" spans="1:5">
      <c r="A215" t="s">
        <v>345</v>
      </c>
      <c r="B215">
        <f>(IOUT*((2*VOUT)-VIN_min))/(Cout*VOUT*(VOUT-VIN_min))</f>
        <v>3033.64589078875</v>
      </c>
      <c r="C215" t="s">
        <v>304</v>
      </c>
    </row>
    <row r="216" customFormat="1" spans="1:5">
      <c r="B216">
        <f>B215/(2*PI())</f>
        <v>482.819739109445</v>
      </c>
      <c r="C216" t="s">
        <v>111</v>
      </c>
    </row>
    <row r="217" customFormat="1" spans="1:5">
      <c r="A217" t="s">
        <v>346</v>
      </c>
      <c r="B217">
        <f>1/(Cout*Resr)</f>
        <v>63775.5102040816</v>
      </c>
      <c r="C217" t="s">
        <v>304</v>
      </c>
    </row>
    <row r="218" customFormat="1" spans="1:5">
      <c r="B218">
        <f>B217/(2*PI())</f>
        <v>10150.1876971872</v>
      </c>
      <c r="C218" t="s">
        <v>111</v>
      </c>
    </row>
    <row r="219" customFormat="1" spans="1:5">
      <c r="A219" t="s">
        <v>347</v>
      </c>
      <c r="B219">
        <f>2*Fsw/(Dc_VIN_min)</f>
        <v>2535135.13513514</v>
      </c>
      <c r="C219" t="s">
        <v>304</v>
      </c>
      <c r="E219" t="s">
        <v>348</v>
      </c>
    </row>
    <row r="220" customFormat="1" spans="1:5">
      <c r="B220">
        <f>B219/(2*PI())</f>
        <v>403479.288162697</v>
      </c>
      <c r="C220" t="s">
        <v>111</v>
      </c>
    </row>
    <row r="221" customFormat="1"/>
    <row r="222" customFormat="1" spans="1:5">
      <c r="A222" t="s">
        <v>349</v>
      </c>
      <c r="B222">
        <f>2*Fsw/(2*PI()*Dc_VIN_min*5)</f>
        <v>80695.8576325394</v>
      </c>
      <c r="C222" t="s">
        <v>111</v>
      </c>
      <c r="E222" t="s">
        <v>350</v>
      </c>
    </row>
    <row r="223" customFormat="1" spans="1:5">
      <c r="B223">
        <f>20*LOG(Gcomp*B214*(B215/(2*PI())))</f>
        <v>106.694840481414</v>
      </c>
      <c r="E223" t="s">
        <v>351</v>
      </c>
    </row>
    <row r="224" customFormat="1" spans="1:5">
      <c r="A224" t="s">
        <v>332</v>
      </c>
      <c r="B224" s="15">
        <f>fcross</f>
        <v>700</v>
      </c>
      <c r="C224" t="s">
        <v>111</v>
      </c>
      <c r="E224" t="s">
        <v>352</v>
      </c>
    </row>
    <row r="225" customFormat="1" spans="1:5">
      <c r="B225" s="13"/>
    </row>
    <row r="226" customFormat="1" spans="1:5">
      <c r="B226" s="13"/>
    </row>
    <row r="227" customFormat="1" spans="1:5">
      <c r="A227" t="s">
        <v>353</v>
      </c>
      <c r="B227">
        <f>(2*PI()*VOUT*fcross)/(Gcomp*Vref*gm_ea*B215*B214)</f>
        <v>11.8876827902734</v>
      </c>
      <c r="C227" t="s">
        <v>354</v>
      </c>
      <c r="E227" t="s">
        <v>335</v>
      </c>
    </row>
    <row r="228" customFormat="1" spans="1:5">
      <c r="A228" t="s">
        <v>355</v>
      </c>
      <c r="B228">
        <f>1/(2*PI()*SQRT(fcross*(B215/(2*PI())))*B227)</f>
        <v>2.30293348859077e-5</v>
      </c>
      <c r="C228" t="s">
        <v>258</v>
      </c>
      <c r="E228" t="s">
        <v>337</v>
      </c>
    </row>
    <row r="229" customFormat="1" spans="1:5">
      <c r="A229" t="s">
        <v>356</v>
      </c>
      <c r="B229">
        <f>B228/((2*PI()*B228*B227*(B219/(2*PI())))-1)</f>
        <v>3.32298120137843e-8</v>
      </c>
      <c r="C229" t="s">
        <v>258</v>
      </c>
      <c r="E229" t="s">
        <v>339</v>
      </c>
    </row>
    <row r="230" customFormat="1" ht="16.5" customHeight="1"/>
    <row r="231" customFormat="1" ht="16.5" customHeight="1" spans="1:5">
      <c r="A231" s="125" t="s">
        <v>357</v>
      </c>
    </row>
    <row r="232" customFormat="1" spans="1:5">
      <c r="B232">
        <f>IF(B52=0,B222,B198)</f>
        <v>3563.170367729</v>
      </c>
      <c r="C232" t="s">
        <v>111</v>
      </c>
      <c r="E232" t="s">
        <v>358</v>
      </c>
    </row>
    <row r="233" customFormat="1" spans="1:5">
      <c r="A233" t="s">
        <v>332</v>
      </c>
      <c r="B233" s="15">
        <f>'Design Converter'!H68*1000</f>
        <v>700</v>
      </c>
      <c r="C233" t="s">
        <v>111</v>
      </c>
      <c r="E233" t="s">
        <v>359</v>
      </c>
    </row>
    <row r="234" customFormat="1"/>
    <row r="235" customFormat="1" spans="1:5">
      <c r="A235" t="s">
        <v>360</v>
      </c>
      <c r="B235">
        <f>IF(B52=0,RCOMP_CALC_DCM,Rcomp_calc_CCM)</f>
        <v>224.345914887834</v>
      </c>
    </row>
    <row r="236" customFormat="1" spans="1:5">
      <c r="A236" t="s">
        <v>361</v>
      </c>
      <c r="B236" s="15">
        <f>'Design Converter'!H71*1000</f>
        <v>2500</v>
      </c>
      <c r="C236" s="16" t="s">
        <v>35</v>
      </c>
      <c r="D236"/>
      <c r="E236" t="s">
        <v>362</v>
      </c>
    </row>
    <row r="237" customFormat="1" spans="1:5">
      <c r="A237" t="s">
        <v>363</v>
      </c>
      <c r="B237">
        <f>IF(B52=0,CCOMP_CALC_DCM,CCOMP_calc_CCM)</f>
        <v>2.45560487658011e-6</v>
      </c>
    </row>
    <row r="238" customFormat="1" spans="1:5">
      <c r="A238" t="s">
        <v>364</v>
      </c>
      <c r="B238" s="15">
        <f>'Design Converter'!H72*(10^-9)</f>
        <v>2.2e-7</v>
      </c>
      <c r="C238" t="s">
        <v>258</v>
      </c>
      <c r="D238"/>
      <c r="E238" t="s">
        <v>365</v>
      </c>
    </row>
    <row r="239" customFormat="1" spans="1:5">
      <c r="A239" t="s">
        <v>366</v>
      </c>
      <c r="B239">
        <f>IF(B52=0,CHF_CALC_DCM,CHF_CALC_CCM)</f>
        <v>3.31828838878855e-8</v>
      </c>
    </row>
    <row r="240" customFormat="1" spans="1:5">
      <c r="A240" t="s">
        <v>367</v>
      </c>
      <c r="B240" s="15">
        <f>'Design Converter'!H73*(10^-12)</f>
        <v>4.7e-9</v>
      </c>
      <c r="C240" t="s">
        <v>258</v>
      </c>
      <c r="D240"/>
      <c r="E240" t="s">
        <v>368</v>
      </c>
    </row>
    <row r="241" customFormat="1"/>
    <row r="242" spans="1:5">
      <c r="A242" s="139" t="s">
        <v>369</v>
      </c>
    </row>
    <row r="243" customFormat="1" spans="1:5">
      <c r="A243" s="139" t="s">
        <v>80</v>
      </c>
    </row>
    <row r="244" customFormat="1" spans="1:5">
      <c r="A244" s="147" t="s">
        <v>370</v>
      </c>
      <c r="E244" t="s">
        <v>371</v>
      </c>
    </row>
    <row r="245" spans="1:5">
      <c r="A245" t="s">
        <v>372</v>
      </c>
      <c r="B245">
        <f>'Design Converter'!H88/1000</f>
        <v>0.325</v>
      </c>
      <c r="C245" t="s">
        <v>7</v>
      </c>
      <c r="E245" t="s">
        <v>373</v>
      </c>
    </row>
    <row r="246" spans="1:5">
      <c r="A246" t="s">
        <v>374</v>
      </c>
      <c r="B246">
        <f>'Design Converter'!H89*(10^-9)</f>
        <v>0</v>
      </c>
      <c r="C246" t="s">
        <v>375</v>
      </c>
      <c r="E246" t="s">
        <v>376</v>
      </c>
    </row>
    <row r="248" customFormat="1"/>
    <row r="249" spans="1:5">
      <c r="A249" s="139" t="s">
        <v>377</v>
      </c>
    </row>
    <row r="250" ht="16.5" spans="1:5">
      <c r="A250" t="s">
        <v>378</v>
      </c>
      <c r="B250" s="15">
        <f>'Design Converter'!H78*(10^-3)</f>
        <v>0.0081</v>
      </c>
      <c r="C250" s="16" t="s">
        <v>35</v>
      </c>
      <c r="E250" s="148" t="s">
        <v>69</v>
      </c>
    </row>
    <row r="251" ht="16.5" spans="1:5">
      <c r="A251" t="s">
        <v>379</v>
      </c>
      <c r="B251" s="15">
        <f>'Design Converter'!H79*(10^-9)</f>
        <v>1.11e-8</v>
      </c>
      <c r="C251" t="s">
        <v>258</v>
      </c>
      <c r="E251" s="148" t="s">
        <v>71</v>
      </c>
    </row>
    <row r="252" ht="16.5" spans="1:5">
      <c r="A252" t="s">
        <v>380</v>
      </c>
      <c r="B252" s="15">
        <f>'Design Converter'!H80*(10^-9)</f>
        <v>1.7e-9</v>
      </c>
      <c r="C252" t="s">
        <v>258</v>
      </c>
      <c r="E252" s="148" t="s">
        <v>73</v>
      </c>
    </row>
    <row r="253" ht="16.5" spans="1:5">
      <c r="A253" t="s">
        <v>381</v>
      </c>
      <c r="B253" s="15">
        <f>'Design Converter'!H81*(10^-9)</f>
        <v>3.1e-9</v>
      </c>
      <c r="C253" t="s">
        <v>258</v>
      </c>
      <c r="E253" s="148" t="s">
        <v>74</v>
      </c>
    </row>
    <row r="254" ht="16.5" spans="1:5">
      <c r="A254" t="s">
        <v>382</v>
      </c>
      <c r="B254" s="15">
        <f>'Design Converter'!H82</f>
        <v>1</v>
      </c>
      <c r="C254" s="16" t="s">
        <v>35</v>
      </c>
      <c r="E254" s="148" t="s">
        <v>75</v>
      </c>
    </row>
    <row r="255" customFormat="1" spans="1:5">
      <c r="A255" t="s">
        <v>383</v>
      </c>
      <c r="B255" s="10">
        <v>1.5</v>
      </c>
      <c r="C255" s="16"/>
      <c r="E255" s="148" t="s">
        <v>384</v>
      </c>
    </row>
    <row r="256" ht="16.5" spans="1:5">
      <c r="A256" t="s">
        <v>385</v>
      </c>
      <c r="B256" s="15">
        <f>'Design Converter'!H83</f>
        <v>40</v>
      </c>
      <c r="C256" s="16" t="s">
        <v>78</v>
      </c>
      <c r="E256" s="148" t="s">
        <v>77</v>
      </c>
    </row>
    <row r="257" ht="16.5" spans="1:8">
      <c r="A257" t="s">
        <v>386</v>
      </c>
      <c r="B257" s="15">
        <f>'Design Converter'!H84</f>
        <v>10</v>
      </c>
      <c r="C257" s="16" t="s">
        <v>7</v>
      </c>
      <c r="E257" s="148" t="s">
        <v>79</v>
      </c>
    </row>
    <row r="258" customFormat="1" spans="1:8">
      <c r="A258" t="s">
        <v>387</v>
      </c>
      <c r="B258" s="10">
        <f>Vcc</f>
        <v>7.2</v>
      </c>
      <c r="C258" s="16" t="s">
        <v>7</v>
      </c>
      <c r="E258" s="148" t="s">
        <v>388</v>
      </c>
    </row>
    <row r="259" customFormat="1" spans="1:8">
      <c r="B259" s="13"/>
      <c r="C259" s="16"/>
      <c r="E259" s="148"/>
    </row>
    <row r="260" customFormat="1" spans="1:8">
      <c r="B260" s="13"/>
      <c r="C260" s="16"/>
      <c r="E260" s="148"/>
    </row>
    <row r="261" spans="1:8">
      <c r="A261" t="s">
        <v>389</v>
      </c>
      <c r="B261" s="137">
        <f>Vth+((IOUT+(VOUT*IOUT/VIN_min))/gfs)</f>
        <v>10.0558333333333</v>
      </c>
      <c r="C261" s="16" t="s">
        <v>7</v>
      </c>
      <c r="E261" s="148" t="s">
        <v>390</v>
      </c>
    </row>
    <row r="262" spans="1:8">
      <c r="A262" t="s">
        <v>391</v>
      </c>
      <c r="B262" s="12">
        <f>(Qgd+(Qgs/2))*((Rgate+B255)/(Vcc-B261))</f>
        <v>-2.84505398307558e-9</v>
      </c>
      <c r="C262" s="16" t="s">
        <v>173</v>
      </c>
      <c r="E262" s="148" t="s">
        <v>392</v>
      </c>
    </row>
    <row r="263" ht="15.75" spans="1:8">
      <c r="A263" t="s">
        <v>393</v>
      </c>
      <c r="B263" s="124">
        <f>(Qgd+(Qgs/2))*((B255+Rgate)/B261)</f>
        <v>8.07988729593105e-10</v>
      </c>
      <c r="C263" t="s">
        <v>173</v>
      </c>
      <c r="E263" s="149" t="s">
        <v>394</v>
      </c>
      <c r="H263" t="s">
        <v>395</v>
      </c>
    </row>
  </sheetData>
  <mergeCells count="2">
    <mergeCell ref="A1:J1"/>
    <mergeCell ref="E5:H5"/>
  </mergeCells>
  <pageMargins left="0.7" right="0.7" top="0.75" bottom="0.75" header="0.3" footer="0.3"/>
  <pageSetup paperSize="1" orientation="portrait"/>
  <headerFooter/>
  <ignoredErrors>
    <ignoredError sqref="B217 B219" formula="1"/>
  </ignoredErrors>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AT157"/>
  <sheetViews>
    <sheetView zoomScale="85" zoomScaleNormal="85" topLeftCell="I1" workbookViewId="0">
      <pane ySplit="6" topLeftCell="A100" activePane="bottomLeft" state="frozen"/>
      <selection/>
      <selection pane="bottomLeft" activeCell="AU42" sqref="AU42"/>
    </sheetView>
  </sheetViews>
  <sheetFormatPr defaultColWidth="9" defaultRowHeight="15"/>
  <cols>
    <col min="10" max="10" width="10" customWidth="1"/>
    <col min="18" max="18" width="8.85714285714286"/>
    <col min="21" max="21" width="8.85714285714286"/>
    <col min="24" max="24" width="8.85714285714286"/>
    <col min="25" max="25" width="12" customWidth="1"/>
    <col min="28" max="28" width="8.85714285714286"/>
    <col min="30" max="30" width="8.85714285714286"/>
    <col min="35" max="35" width="8.85714285714286"/>
    <col min="39" max="39" width="11" customWidth="1"/>
    <col min="42" max="43" width="8.85714285714286"/>
  </cols>
  <sheetData>
    <row r="1" ht="27.75" spans="1:46">
      <c r="A1" s="1" t="s">
        <v>90</v>
      </c>
      <c r="B1" s="1"/>
      <c r="C1" s="1"/>
      <c r="D1" s="1"/>
      <c r="E1" s="1"/>
      <c r="F1" s="1"/>
      <c r="G1" s="1"/>
      <c r="H1" s="1"/>
      <c r="I1" s="1"/>
      <c r="J1" s="1"/>
      <c r="K1" s="1"/>
      <c r="L1" s="1"/>
      <c r="M1" s="1"/>
    </row>
    <row r="2" spans="1:46">
      <c r="Y2" s="40" t="s">
        <v>396</v>
      </c>
      <c r="Z2" s="40"/>
      <c r="AA2" s="40"/>
      <c r="AB2" s="40"/>
      <c r="AC2" s="40"/>
      <c r="AD2" s="40"/>
    </row>
    <row r="4" ht="15.75" spans="1:46">
      <c r="R4" s="96"/>
      <c r="S4" s="96"/>
      <c r="T4" s="96"/>
      <c r="U4" s="96"/>
      <c r="V4" s="96"/>
      <c r="W4" s="96"/>
      <c r="X4" s="96"/>
      <c r="Y4" s="96"/>
      <c r="Z4" s="96"/>
      <c r="AA4" s="96"/>
      <c r="AB4" s="96"/>
      <c r="AC4" s="96"/>
      <c r="AD4" s="96"/>
      <c r="AE4" s="96"/>
      <c r="AF4" s="96"/>
      <c r="AG4" s="96"/>
      <c r="AH4" s="96"/>
      <c r="AI4" s="96"/>
      <c r="AJ4" s="96"/>
      <c r="AK4" s="96"/>
      <c r="AL4" s="96"/>
      <c r="AM4" s="96"/>
      <c r="AN4" s="96"/>
      <c r="AO4" s="96"/>
      <c r="AP4" s="96"/>
      <c r="AQ4" s="96"/>
      <c r="AR4" s="96"/>
      <c r="AS4" s="96"/>
      <c r="AT4" s="96"/>
    </row>
    <row r="5" ht="30" spans="1:46">
      <c r="R5" s="97" t="s">
        <v>397</v>
      </c>
      <c r="S5" s="98"/>
      <c r="T5" s="98"/>
      <c r="U5" s="99"/>
      <c r="V5" s="97" t="s">
        <v>398</v>
      </c>
      <c r="W5" s="98"/>
      <c r="X5" s="99"/>
      <c r="Y5" s="97" t="s">
        <v>399</v>
      </c>
      <c r="Z5" s="98"/>
      <c r="AA5" s="98"/>
      <c r="AB5" s="98"/>
      <c r="AC5" s="98"/>
      <c r="AD5" s="99"/>
      <c r="AE5" s="97" t="s">
        <v>400</v>
      </c>
      <c r="AF5" s="98"/>
      <c r="AG5" s="98"/>
      <c r="AH5" s="98"/>
      <c r="AI5" s="99"/>
      <c r="AJ5" s="97" t="s">
        <v>401</v>
      </c>
      <c r="AK5" s="98"/>
      <c r="AL5" s="98"/>
      <c r="AM5" s="98"/>
      <c r="AN5" s="99"/>
      <c r="AO5" s="100" t="s">
        <v>402</v>
      </c>
      <c r="AP5" s="101"/>
      <c r="AQ5" s="102"/>
      <c r="AR5" s="100" t="s">
        <v>403</v>
      </c>
      <c r="AS5" s="103"/>
      <c r="AT5" s="104"/>
    </row>
    <row r="6" ht="18.75" spans="1:46">
      <c r="R6" s="105" t="s">
        <v>115</v>
      </c>
      <c r="S6" s="106" t="s">
        <v>117</v>
      </c>
      <c r="T6" s="106" t="s">
        <v>404</v>
      </c>
      <c r="U6" s="107" t="s">
        <v>405</v>
      </c>
      <c r="V6" s="105" t="s">
        <v>406</v>
      </c>
      <c r="W6" s="106" t="s">
        <v>407</v>
      </c>
      <c r="X6" s="107" t="s">
        <v>408</v>
      </c>
      <c r="Y6" s="108" t="s">
        <v>409</v>
      </c>
      <c r="Z6" s="109" t="s">
        <v>410</v>
      </c>
      <c r="AA6" s="109" t="s">
        <v>411</v>
      </c>
      <c r="AB6" s="110" t="s">
        <v>412</v>
      </c>
      <c r="AC6" s="110" t="s">
        <v>413</v>
      </c>
      <c r="AD6" s="111" t="s">
        <v>414</v>
      </c>
      <c r="AE6" s="108" t="s">
        <v>415</v>
      </c>
      <c r="AF6" s="109" t="s">
        <v>416</v>
      </c>
      <c r="AG6" s="110" t="s">
        <v>417</v>
      </c>
      <c r="AH6" s="110" t="s">
        <v>418</v>
      </c>
      <c r="AI6" s="111" t="s">
        <v>419</v>
      </c>
      <c r="AJ6" s="108" t="s">
        <v>420</v>
      </c>
      <c r="AK6" s="109" t="s">
        <v>421</v>
      </c>
      <c r="AL6" s="109" t="s">
        <v>422</v>
      </c>
      <c r="AM6" s="109" t="s">
        <v>423</v>
      </c>
      <c r="AN6" s="112" t="s">
        <v>424</v>
      </c>
      <c r="AO6" s="108" t="s">
        <v>425</v>
      </c>
      <c r="AP6" s="109" t="s">
        <v>426</v>
      </c>
      <c r="AQ6" s="112" t="s">
        <v>427</v>
      </c>
      <c r="AR6" s="108" t="s">
        <v>428</v>
      </c>
      <c r="AS6" s="109" t="s">
        <v>429</v>
      </c>
      <c r="AT6" s="112" t="s">
        <v>430</v>
      </c>
    </row>
    <row r="7" spans="1:46">
      <c r="Q7">
        <v>0</v>
      </c>
      <c r="R7" s="105">
        <f t="shared" ref="R7:R70" si="0">VOUT</f>
        <v>3.7</v>
      </c>
      <c r="S7" s="106">
        <f t="shared" ref="S7:S38" si="1">Q7*$O$12</f>
        <v>0</v>
      </c>
      <c r="T7" s="106">
        <f t="shared" ref="T7:T70" si="2">VIN_var</f>
        <v>3</v>
      </c>
      <c r="U7" s="107">
        <f t="shared" ref="U7:U38" si="3">(R7*S7)/(T7*EFF_est)</f>
        <v>0</v>
      </c>
      <c r="V7" s="105">
        <f t="shared" ref="V7:V38" si="4">IF(S7&lt;((T7^2)*R7)/(2*Fsw*Lm*((T7+R7)^2)),1,2)</f>
        <v>1</v>
      </c>
      <c r="W7" s="106">
        <f t="shared" ref="W7:W38" si="5">CHOOSE(V7,SQRT(2*Lm*R7*S7*Fsw)/T7,R7/(T7+R7))</f>
        <v>0</v>
      </c>
      <c r="X7" s="107">
        <f t="shared" ref="X7:X38" si="6">CHOOSE(V7,(Lm*Z7*Fsw)/(R7),1-W7)</f>
        <v>0</v>
      </c>
      <c r="Y7" s="105">
        <f t="shared" ref="Y7" si="7">(T7*W7)/(Lm*Fsw)</f>
        <v>0</v>
      </c>
      <c r="Z7" s="106">
        <f t="shared" ref="Z7:Z19" si="8">U7+S7+(Y7)</f>
        <v>0</v>
      </c>
      <c r="AA7" s="106">
        <f>CHOOSE(V7,Z7*SQRT((W7+X7)/3),SQRT((U7^2)+((Y7^2)/12)))</f>
        <v>0</v>
      </c>
      <c r="AB7" s="106">
        <v>0</v>
      </c>
      <c r="AC7" s="106">
        <f t="shared" ref="AC7" si="9">(AA7^2)*Rdcr</f>
        <v>0</v>
      </c>
      <c r="AD7" s="107">
        <f>AB7+AC7</f>
        <v>0</v>
      </c>
      <c r="AE7" s="105">
        <f>U7*S7*W7</f>
        <v>0</v>
      </c>
      <c r="AF7" s="106">
        <f>AA7</f>
        <v>0</v>
      </c>
      <c r="AG7" s="106">
        <f t="shared" ref="AG7:AG38" si="10">(AF7^2)*RDS_on</f>
        <v>0</v>
      </c>
      <c r="AH7" s="106">
        <f t="shared" ref="AH7:AH38" si="11">(((R7+T7)*(U7+S7))/2)*Fsw*(tr_sw+tf_sw)</f>
        <v>0</v>
      </c>
      <c r="AI7" s="107">
        <f>AG7+AH7</f>
        <v>0</v>
      </c>
      <c r="AJ7" s="105">
        <f>S7</f>
        <v>0</v>
      </c>
      <c r="AK7" s="106">
        <f t="shared" ref="AK7" si="12">CHOOSE(V7,Z7*SQRT(X7/3),SQRT(X7*((Z7^2)+((Y7^2)/3)-(Y7*Z7))))</f>
        <v>0</v>
      </c>
      <c r="AL7" s="106">
        <f t="shared" ref="AL7" si="13">S7*Vd_rect</f>
        <v>0</v>
      </c>
      <c r="AM7" s="106">
        <f t="shared" ref="AM7:AM38" si="14">(R7+T7+Vd_rect)*Qrr*Fsw</f>
        <v>0</v>
      </c>
      <c r="AN7" s="107">
        <f>AL7+AM7</f>
        <v>0</v>
      </c>
      <c r="AO7" s="105">
        <f t="shared" ref="AO7:AO38" si="15">(AF7^2)*R_cs</f>
        <v>0</v>
      </c>
      <c r="AP7" s="106">
        <f t="shared" ref="AP7:AP70" si="16">Qg_tot*Vcc*Fsw</f>
        <v>0.055944</v>
      </c>
      <c r="AQ7" s="107">
        <f t="shared" ref="AQ7" si="17">IQ*T7</f>
        <v>0.0099</v>
      </c>
      <c r="AR7" s="105">
        <f>AO7+AN7+AI7+AP7+AQ7</f>
        <v>0.065844</v>
      </c>
      <c r="AS7" s="106">
        <f>R7*S7</f>
        <v>0</v>
      </c>
      <c r="AT7" s="107">
        <f>(AS7/(AS7+AR7))*100</f>
        <v>0</v>
      </c>
    </row>
    <row r="8" spans="1:46">
      <c r="M8">
        <f>Fsw</f>
        <v>700000</v>
      </c>
      <c r="Q8">
        <v>1</v>
      </c>
      <c r="R8" s="105">
        <f t="shared" si="0"/>
        <v>3.7</v>
      </c>
      <c r="S8" s="106">
        <f t="shared" si="1"/>
        <v>0.00666666666666667</v>
      </c>
      <c r="T8" s="106">
        <f t="shared" si="2"/>
        <v>3</v>
      </c>
      <c r="U8" s="107">
        <f t="shared" si="3"/>
        <v>0.00822222222222222</v>
      </c>
      <c r="V8" s="105">
        <f t="shared" si="4"/>
        <v>1</v>
      </c>
      <c r="W8" s="106">
        <f t="shared" si="5"/>
        <v>0.195883563298125</v>
      </c>
      <c r="X8" s="107">
        <f t="shared" si="6"/>
        <v>0.186992678950431</v>
      </c>
      <c r="Y8" s="105">
        <f t="shared" ref="Y8:Y71" si="18">(T8*W8)/(Lm*Fsw)</f>
        <v>0.0839500985563391</v>
      </c>
      <c r="Z8" s="106">
        <f t="shared" si="8"/>
        <v>0.098838987445228</v>
      </c>
      <c r="AA8" s="106">
        <f t="shared" ref="AA8:AA71" si="19">CHOOSE(V8,Z8*SQRT((W8+X8)/3),SQRT((U8^2)+((Y8^2)/12)))</f>
        <v>0.0353099310663904</v>
      </c>
      <c r="AB8" s="106">
        <v>0</v>
      </c>
      <c r="AC8" s="106">
        <f t="shared" ref="AC8:AC71" si="20">(AA8^2)*Rdcr</f>
        <v>1.24679123191324e-5</v>
      </c>
      <c r="AD8" s="107">
        <f t="shared" ref="AD8:AD71" si="21">AB8+AC8</f>
        <v>1.24679123191324e-5</v>
      </c>
      <c r="AE8" s="105">
        <f t="shared" ref="AE8:AE71" si="22">U8*S8*W8</f>
        <v>1.07373212474528e-5</v>
      </c>
      <c r="AF8" s="106">
        <f t="shared" ref="AF8:AF71" si="23">AA8</f>
        <v>0.0353099310663904</v>
      </c>
      <c r="AG8" s="106">
        <f t="shared" si="10"/>
        <v>1.00990089784972e-5</v>
      </c>
      <c r="AH8" s="106">
        <f t="shared" si="11"/>
        <v>-7.11230016224219e-5</v>
      </c>
      <c r="AI8" s="107">
        <f t="shared" ref="AI8:AI71" si="24">AG8+AH8</f>
        <v>-6.10239926439246e-5</v>
      </c>
      <c r="AJ8" s="105">
        <f t="shared" ref="AJ8:AJ71" si="25">S8</f>
        <v>0.00666666666666667</v>
      </c>
      <c r="AK8" s="106">
        <f t="shared" ref="AK8:AK71" si="26">CHOOSE(V8,Z8*SQRT(X8/3),SQRT(X8*((Z8^2)+((Y8^2)/3)-(Y8*Z8))))</f>
        <v>0.0246762954859653</v>
      </c>
      <c r="AL8" s="106">
        <f t="shared" ref="AL8:AL71" si="27">S8*Vd_rect</f>
        <v>0.00216666666666667</v>
      </c>
      <c r="AM8" s="106">
        <f t="shared" si="14"/>
        <v>0</v>
      </c>
      <c r="AN8" s="107">
        <f t="shared" ref="AN8:AN71" si="28">AL8+AM8</f>
        <v>0.00216666666666667</v>
      </c>
      <c r="AO8" s="105">
        <f t="shared" si="15"/>
        <v>1.24679123191324e-5</v>
      </c>
      <c r="AP8" s="106">
        <f t="shared" si="16"/>
        <v>0.055944</v>
      </c>
      <c r="AQ8" s="107">
        <f t="shared" ref="AQ8:AQ71" si="29">IQ*T8</f>
        <v>0.0099</v>
      </c>
      <c r="AR8" s="105">
        <f t="shared" ref="AR8:AR71" si="30">AO8+AN8+AI8+AP8+AQ8</f>
        <v>0.0679621105863419</v>
      </c>
      <c r="AS8" s="106">
        <f t="shared" ref="AS8:AS71" si="31">R8*S8</f>
        <v>0.0246666666666667</v>
      </c>
      <c r="AT8" s="107">
        <f t="shared" ref="AT8:AT71" si="32">(AS8/(AS8+AR8))*100</f>
        <v>26.6295933058595</v>
      </c>
    </row>
    <row r="9" spans="1:46">
      <c r="N9" s="106" t="s">
        <v>431</v>
      </c>
      <c r="O9" s="106">
        <f>VIN_var</f>
        <v>3</v>
      </c>
      <c r="P9" t="s">
        <v>7</v>
      </c>
      <c r="Q9">
        <v>2</v>
      </c>
      <c r="R9" s="105">
        <f t="shared" si="0"/>
        <v>3.7</v>
      </c>
      <c r="S9" s="106">
        <f t="shared" si="1"/>
        <v>0.0133333333333333</v>
      </c>
      <c r="T9" s="106">
        <f t="shared" si="2"/>
        <v>3</v>
      </c>
      <c r="U9" s="107">
        <f t="shared" si="3"/>
        <v>0.0164444444444444</v>
      </c>
      <c r="V9" s="105">
        <f t="shared" si="4"/>
        <v>1</v>
      </c>
      <c r="W9" s="106">
        <f t="shared" si="5"/>
        <v>0.277021191862176</v>
      </c>
      <c r="X9" s="107">
        <f t="shared" si="6"/>
        <v>0.280948113521885</v>
      </c>
      <c r="Y9" s="105">
        <f t="shared" si="18"/>
        <v>0.118723367940933</v>
      </c>
      <c r="Z9" s="106">
        <f t="shared" si="8"/>
        <v>0.148501145718711</v>
      </c>
      <c r="AA9" s="106">
        <f t="shared" si="19"/>
        <v>0.0640433927904157</v>
      </c>
      <c r="AB9" s="106">
        <v>0</v>
      </c>
      <c r="AC9" s="106">
        <f t="shared" si="20"/>
        <v>4.10155616010747e-5</v>
      </c>
      <c r="AD9" s="107">
        <f t="shared" si="21"/>
        <v>4.10155616010747e-5</v>
      </c>
      <c r="AE9" s="105">
        <f t="shared" si="22"/>
        <v>6.07394613268179e-5</v>
      </c>
      <c r="AF9" s="106">
        <f t="shared" si="23"/>
        <v>0.0640433927904157</v>
      </c>
      <c r="AG9" s="106">
        <f t="shared" si="10"/>
        <v>3.32226048968705e-5</v>
      </c>
      <c r="AH9" s="106">
        <f t="shared" si="11"/>
        <v>-0.000142246003244844</v>
      </c>
      <c r="AI9" s="107">
        <f t="shared" si="24"/>
        <v>-0.000109023398347973</v>
      </c>
      <c r="AJ9" s="105">
        <f t="shared" si="25"/>
        <v>0.0133333333333333</v>
      </c>
      <c r="AK9" s="106">
        <f t="shared" si="26"/>
        <v>0.0454445949751722</v>
      </c>
      <c r="AL9" s="106">
        <f t="shared" si="27"/>
        <v>0.00433333333333333</v>
      </c>
      <c r="AM9" s="106">
        <f t="shared" si="14"/>
        <v>0</v>
      </c>
      <c r="AN9" s="107">
        <f t="shared" si="28"/>
        <v>0.00433333333333333</v>
      </c>
      <c r="AO9" s="105">
        <f t="shared" si="15"/>
        <v>4.10155616010747e-5</v>
      </c>
      <c r="AP9" s="106">
        <f t="shared" si="16"/>
        <v>0.055944</v>
      </c>
      <c r="AQ9" s="107">
        <f t="shared" si="29"/>
        <v>0.0099</v>
      </c>
      <c r="AR9" s="105">
        <f t="shared" si="30"/>
        <v>0.0701093254965864</v>
      </c>
      <c r="AS9" s="106">
        <f t="shared" si="31"/>
        <v>0.0493333333333333</v>
      </c>
      <c r="AT9" s="107">
        <f t="shared" si="32"/>
        <v>41.3029430327581</v>
      </c>
    </row>
    <row r="10" spans="1:46">
      <c r="N10" s="106"/>
      <c r="O10" s="106"/>
      <c r="Q10">
        <v>3</v>
      </c>
      <c r="R10" s="105">
        <f t="shared" si="0"/>
        <v>3.7</v>
      </c>
      <c r="S10" s="106">
        <f t="shared" si="1"/>
        <v>0.02</v>
      </c>
      <c r="T10" s="106">
        <f t="shared" si="2"/>
        <v>3</v>
      </c>
      <c r="U10" s="107">
        <f t="shared" si="3"/>
        <v>0.0246666666666667</v>
      </c>
      <c r="V10" s="105">
        <f t="shared" si="4"/>
        <v>1</v>
      </c>
      <c r="W10" s="106">
        <f t="shared" si="5"/>
        <v>0.339280283999986</v>
      </c>
      <c r="X10" s="107">
        <f t="shared" si="6"/>
        <v>0.359596626666655</v>
      </c>
      <c r="Y10" s="105">
        <f t="shared" si="18"/>
        <v>0.145405835999994</v>
      </c>
      <c r="Z10" s="106">
        <f t="shared" si="8"/>
        <v>0.190072502666661</v>
      </c>
      <c r="AA10" s="106">
        <f t="shared" si="19"/>
        <v>0.0917400583458325</v>
      </c>
      <c r="AB10" s="106">
        <v>0</v>
      </c>
      <c r="AC10" s="106">
        <f t="shared" si="20"/>
        <v>8.41623830529676e-5</v>
      </c>
      <c r="AD10" s="107">
        <f t="shared" si="21"/>
        <v>8.41623830529676e-5</v>
      </c>
      <c r="AE10" s="105">
        <f t="shared" si="22"/>
        <v>0.000167378273439993</v>
      </c>
      <c r="AF10" s="106">
        <f t="shared" si="23"/>
        <v>0.0917400583458325</v>
      </c>
      <c r="AG10" s="106">
        <f t="shared" si="10"/>
        <v>6.81715302729037e-5</v>
      </c>
      <c r="AH10" s="106">
        <f t="shared" si="11"/>
        <v>-0.000213369004867266</v>
      </c>
      <c r="AI10" s="107">
        <f t="shared" si="24"/>
        <v>-0.000145197474594362</v>
      </c>
      <c r="AJ10" s="105">
        <f t="shared" si="25"/>
        <v>0.02</v>
      </c>
      <c r="AK10" s="106">
        <f t="shared" si="26"/>
        <v>0.0658061480521644</v>
      </c>
      <c r="AL10" s="106">
        <f t="shared" si="27"/>
        <v>0.0065</v>
      </c>
      <c r="AM10" s="106">
        <f t="shared" si="14"/>
        <v>0</v>
      </c>
      <c r="AN10" s="107">
        <f t="shared" si="28"/>
        <v>0.0065</v>
      </c>
      <c r="AO10" s="105">
        <f t="shared" si="15"/>
        <v>8.41623830529676e-5</v>
      </c>
      <c r="AP10" s="106">
        <f t="shared" si="16"/>
        <v>0.055944</v>
      </c>
      <c r="AQ10" s="107">
        <f t="shared" si="29"/>
        <v>0.0099</v>
      </c>
      <c r="AR10" s="105">
        <f t="shared" si="30"/>
        <v>0.0722829649084586</v>
      </c>
      <c r="AS10" s="106">
        <f t="shared" si="31"/>
        <v>0.074</v>
      </c>
      <c r="AT10" s="107">
        <f t="shared" si="32"/>
        <v>50.5868882588673</v>
      </c>
    </row>
    <row r="11" spans="1:46">
      <c r="N11" s="106" t="s">
        <v>432</v>
      </c>
      <c r="O11" s="106">
        <v>150</v>
      </c>
      <c r="Q11">
        <v>4</v>
      </c>
      <c r="R11" s="105">
        <f t="shared" si="0"/>
        <v>3.7</v>
      </c>
      <c r="S11" s="106">
        <f t="shared" si="1"/>
        <v>0.0266666666666667</v>
      </c>
      <c r="T11" s="106">
        <f t="shared" si="2"/>
        <v>3</v>
      </c>
      <c r="U11" s="107">
        <f t="shared" si="3"/>
        <v>0.0328888888888889</v>
      </c>
      <c r="V11" s="105">
        <f t="shared" si="4"/>
        <v>1</v>
      </c>
      <c r="W11" s="106">
        <f t="shared" si="5"/>
        <v>0.391767126596249</v>
      </c>
      <c r="X11" s="107">
        <f t="shared" si="6"/>
        <v>0.430321694237199</v>
      </c>
      <c r="Y11" s="105">
        <f t="shared" si="18"/>
        <v>0.167900197112678</v>
      </c>
      <c r="Z11" s="106">
        <f t="shared" si="8"/>
        <v>0.227455752668234</v>
      </c>
      <c r="AA11" s="106">
        <f t="shared" si="19"/>
        <v>0.119068167324473</v>
      </c>
      <c r="AB11" s="106">
        <v>0</v>
      </c>
      <c r="AC11" s="106">
        <f t="shared" si="20"/>
        <v>0.000141772284700086</v>
      </c>
      <c r="AD11" s="107">
        <f t="shared" si="21"/>
        <v>0.000141772284700086</v>
      </c>
      <c r="AE11" s="105">
        <f t="shared" si="22"/>
        <v>0.000343594279918488</v>
      </c>
      <c r="AF11" s="106">
        <f t="shared" si="23"/>
        <v>0.119068167324473</v>
      </c>
      <c r="AG11" s="106">
        <f t="shared" si="10"/>
        <v>0.00011483555060707</v>
      </c>
      <c r="AH11" s="106">
        <f t="shared" si="11"/>
        <v>-0.000284492006489687</v>
      </c>
      <c r="AI11" s="107">
        <f t="shared" si="24"/>
        <v>-0.000169656455882618</v>
      </c>
      <c r="AJ11" s="105">
        <f t="shared" si="25"/>
        <v>0.0266666666666667</v>
      </c>
      <c r="AK11" s="106">
        <f t="shared" si="26"/>
        <v>0.0861455639463003</v>
      </c>
      <c r="AL11" s="106">
        <f t="shared" si="27"/>
        <v>0.00866666666666667</v>
      </c>
      <c r="AM11" s="106">
        <f t="shared" si="14"/>
        <v>0</v>
      </c>
      <c r="AN11" s="107">
        <f t="shared" si="28"/>
        <v>0.00866666666666667</v>
      </c>
      <c r="AO11" s="105">
        <f t="shared" si="15"/>
        <v>0.000141772284700086</v>
      </c>
      <c r="AP11" s="106">
        <f t="shared" si="16"/>
        <v>0.055944</v>
      </c>
      <c r="AQ11" s="107">
        <f t="shared" si="29"/>
        <v>0.0099</v>
      </c>
      <c r="AR11" s="105">
        <f t="shared" si="30"/>
        <v>0.0744827824954841</v>
      </c>
      <c r="AS11" s="106">
        <f t="shared" si="31"/>
        <v>0.0986666666666667</v>
      </c>
      <c r="AT11" s="107">
        <f t="shared" si="32"/>
        <v>56.9835290519853</v>
      </c>
    </row>
    <row r="12" spans="1:46">
      <c r="N12" s="106" t="s">
        <v>433</v>
      </c>
      <c r="O12" s="106">
        <f>IOUT/(O11)</f>
        <v>0.00666666666666667</v>
      </c>
      <c r="Q12">
        <v>5</v>
      </c>
      <c r="R12" s="105">
        <f t="shared" si="0"/>
        <v>3.7</v>
      </c>
      <c r="S12" s="106">
        <f t="shared" si="1"/>
        <v>0.0333333333333333</v>
      </c>
      <c r="T12" s="106">
        <f t="shared" si="2"/>
        <v>3</v>
      </c>
      <c r="U12" s="107">
        <f t="shared" si="3"/>
        <v>0.0411111111111111</v>
      </c>
      <c r="V12" s="105">
        <f t="shared" si="4"/>
        <v>1</v>
      </c>
      <c r="W12" s="106">
        <f t="shared" si="5"/>
        <v>0.438008963209489</v>
      </c>
      <c r="X12" s="107">
        <f t="shared" si="6"/>
        <v>0.495983243443129</v>
      </c>
      <c r="Y12" s="105">
        <f t="shared" si="18"/>
        <v>0.187718127089781</v>
      </c>
      <c r="Z12" s="106">
        <f t="shared" si="8"/>
        <v>0.262162571534226</v>
      </c>
      <c r="AA12" s="106">
        <f t="shared" si="19"/>
        <v>0.14627890046587</v>
      </c>
      <c r="AB12" s="106">
        <v>0</v>
      </c>
      <c r="AC12" s="106">
        <f t="shared" si="20"/>
        <v>0.000213975167215039</v>
      </c>
      <c r="AD12" s="107">
        <f t="shared" si="21"/>
        <v>0.000213975167215039</v>
      </c>
      <c r="AE12" s="105">
        <f t="shared" si="22"/>
        <v>0.00060023450513893</v>
      </c>
      <c r="AF12" s="106">
        <f t="shared" si="23"/>
        <v>0.14627890046587</v>
      </c>
      <c r="AG12" s="106">
        <f t="shared" si="10"/>
        <v>0.000173319885444182</v>
      </c>
      <c r="AH12" s="106">
        <f t="shared" si="11"/>
        <v>-0.000355615008112109</v>
      </c>
      <c r="AI12" s="107">
        <f t="shared" si="24"/>
        <v>-0.000182295122667928</v>
      </c>
      <c r="AJ12" s="105">
        <f t="shared" si="25"/>
        <v>0.0333333333333333</v>
      </c>
      <c r="AK12" s="106">
        <f t="shared" si="26"/>
        <v>0.106596651661116</v>
      </c>
      <c r="AL12" s="106">
        <f t="shared" si="27"/>
        <v>0.0108333333333333</v>
      </c>
      <c r="AM12" s="106">
        <f t="shared" si="14"/>
        <v>0</v>
      </c>
      <c r="AN12" s="107">
        <f t="shared" si="28"/>
        <v>0.0108333333333333</v>
      </c>
      <c r="AO12" s="105">
        <f t="shared" si="15"/>
        <v>0.000213975167215039</v>
      </c>
      <c r="AP12" s="106">
        <f t="shared" si="16"/>
        <v>0.055944</v>
      </c>
      <c r="AQ12" s="107">
        <f t="shared" si="29"/>
        <v>0.0099</v>
      </c>
      <c r="AR12" s="105">
        <f t="shared" si="30"/>
        <v>0.0767090133778804</v>
      </c>
      <c r="AS12" s="106">
        <f t="shared" si="31"/>
        <v>0.123333333333333</v>
      </c>
      <c r="AT12" s="107">
        <f t="shared" si="32"/>
        <v>61.6536125280416</v>
      </c>
    </row>
    <row r="13" spans="1:46">
      <c r="Q13">
        <v>6</v>
      </c>
      <c r="R13" s="105">
        <f t="shared" si="0"/>
        <v>3.7</v>
      </c>
      <c r="S13" s="106">
        <f t="shared" si="1"/>
        <v>0.04</v>
      </c>
      <c r="T13" s="106">
        <f t="shared" si="2"/>
        <v>3</v>
      </c>
      <c r="U13" s="107">
        <f t="shared" si="3"/>
        <v>0.0493333333333333</v>
      </c>
      <c r="V13" s="105">
        <f t="shared" si="4"/>
        <v>1</v>
      </c>
      <c r="W13" s="106">
        <f t="shared" si="5"/>
        <v>0.479814779078576</v>
      </c>
      <c r="X13" s="107">
        <f t="shared" si="6"/>
        <v>0.558048019072719</v>
      </c>
      <c r="Y13" s="105">
        <f t="shared" si="18"/>
        <v>0.20563490531939</v>
      </c>
      <c r="Z13" s="106">
        <f t="shared" si="8"/>
        <v>0.294968238652723</v>
      </c>
      <c r="AA13" s="106">
        <f t="shared" si="19"/>
        <v>0.173494055943182</v>
      </c>
      <c r="AB13" s="106">
        <v>0</v>
      </c>
      <c r="AC13" s="106">
        <f t="shared" si="20"/>
        <v>0.000301001874476159</v>
      </c>
      <c r="AD13" s="107">
        <f t="shared" si="21"/>
        <v>0.000301001874476159</v>
      </c>
      <c r="AE13" s="105">
        <f t="shared" si="22"/>
        <v>0.000946834497381723</v>
      </c>
      <c r="AF13" s="106">
        <f t="shared" si="23"/>
        <v>0.173494055943182</v>
      </c>
      <c r="AG13" s="106">
        <f t="shared" si="10"/>
        <v>0.000243811518325689</v>
      </c>
      <c r="AH13" s="106">
        <f t="shared" si="11"/>
        <v>-0.000426738009734531</v>
      </c>
      <c r="AI13" s="107">
        <f t="shared" si="24"/>
        <v>-0.000182926491408843</v>
      </c>
      <c r="AJ13" s="105">
        <f t="shared" si="25"/>
        <v>0.04</v>
      </c>
      <c r="AK13" s="106">
        <f t="shared" si="26"/>
        <v>0.127218541693894</v>
      </c>
      <c r="AL13" s="106">
        <f t="shared" si="27"/>
        <v>0.013</v>
      </c>
      <c r="AM13" s="106">
        <f t="shared" si="14"/>
        <v>0</v>
      </c>
      <c r="AN13" s="107">
        <f t="shared" si="28"/>
        <v>0.013</v>
      </c>
      <c r="AO13" s="105">
        <f t="shared" si="15"/>
        <v>0.000301001874476159</v>
      </c>
      <c r="AP13" s="106">
        <f t="shared" si="16"/>
        <v>0.055944</v>
      </c>
      <c r="AQ13" s="107">
        <f t="shared" si="29"/>
        <v>0.0099</v>
      </c>
      <c r="AR13" s="105">
        <f t="shared" si="30"/>
        <v>0.0789620753830673</v>
      </c>
      <c r="AS13" s="106">
        <f t="shared" si="31"/>
        <v>0.148</v>
      </c>
      <c r="AT13" s="107">
        <f t="shared" si="32"/>
        <v>65.2091322967527</v>
      </c>
    </row>
    <row r="14" spans="1:46">
      <c r="Q14">
        <v>7</v>
      </c>
      <c r="R14" s="105">
        <f t="shared" si="0"/>
        <v>3.7</v>
      </c>
      <c r="S14" s="106">
        <f t="shared" si="1"/>
        <v>0.0466666666666667</v>
      </c>
      <c r="T14" s="106">
        <f t="shared" si="2"/>
        <v>3</v>
      </c>
      <c r="U14" s="107">
        <f t="shared" si="3"/>
        <v>0.0575555555555556</v>
      </c>
      <c r="V14" s="105">
        <f t="shared" si="4"/>
        <v>1</v>
      </c>
      <c r="W14" s="106">
        <f t="shared" si="5"/>
        <v>0.518259194412017</v>
      </c>
      <c r="X14" s="107">
        <f t="shared" si="6"/>
        <v>0.617387334808542</v>
      </c>
      <c r="Y14" s="105">
        <f t="shared" si="18"/>
        <v>0.222111083319436</v>
      </c>
      <c r="Z14" s="106">
        <f t="shared" si="8"/>
        <v>0.326333305541658</v>
      </c>
      <c r="AA14" s="106">
        <f t="shared" si="19"/>
        <v>0.200780883858436</v>
      </c>
      <c r="AB14" s="106">
        <v>0</v>
      </c>
      <c r="AC14" s="106">
        <f t="shared" si="20"/>
        <v>0.00040312963322975</v>
      </c>
      <c r="AD14" s="107">
        <f t="shared" si="21"/>
        <v>0.00040312963322975</v>
      </c>
      <c r="AE14" s="105">
        <f t="shared" si="22"/>
        <v>0.00139200580662072</v>
      </c>
      <c r="AF14" s="106">
        <f t="shared" si="23"/>
        <v>0.200780883858436</v>
      </c>
      <c r="AG14" s="106">
        <f t="shared" si="10"/>
        <v>0.000326535002916097</v>
      </c>
      <c r="AH14" s="106">
        <f t="shared" si="11"/>
        <v>-0.000497861011356953</v>
      </c>
      <c r="AI14" s="107">
        <f t="shared" si="24"/>
        <v>-0.000171326008440856</v>
      </c>
      <c r="AJ14" s="105">
        <f t="shared" si="25"/>
        <v>0.0466666666666667</v>
      </c>
      <c r="AK14" s="106">
        <f t="shared" si="26"/>
        <v>0.148040188959546</v>
      </c>
      <c r="AL14" s="106">
        <f t="shared" si="27"/>
        <v>0.0151666666666667</v>
      </c>
      <c r="AM14" s="106">
        <f t="shared" si="14"/>
        <v>0</v>
      </c>
      <c r="AN14" s="107">
        <f t="shared" si="28"/>
        <v>0.0151666666666667</v>
      </c>
      <c r="AO14" s="105">
        <f t="shared" si="15"/>
        <v>0.00040312963322975</v>
      </c>
      <c r="AP14" s="106">
        <f t="shared" si="16"/>
        <v>0.055944</v>
      </c>
      <c r="AQ14" s="107">
        <f t="shared" si="29"/>
        <v>0.0099</v>
      </c>
      <c r="AR14" s="105">
        <f t="shared" si="30"/>
        <v>0.0812424702914556</v>
      </c>
      <c r="AS14" s="106">
        <f t="shared" si="31"/>
        <v>0.172666666666667</v>
      </c>
      <c r="AT14" s="107">
        <f t="shared" si="32"/>
        <v>68.0033293544474</v>
      </c>
    </row>
    <row r="15" spans="1:46">
      <c r="O15">
        <f>0.205*2.5/(Lm*Fsw)</f>
        <v>0.0732142857142857</v>
      </c>
      <c r="Q15">
        <v>8</v>
      </c>
      <c r="R15" s="105">
        <f t="shared" si="0"/>
        <v>3.7</v>
      </c>
      <c r="S15" s="106">
        <f t="shared" si="1"/>
        <v>0.0533333333333333</v>
      </c>
      <c r="T15" s="106">
        <f t="shared" si="2"/>
        <v>3</v>
      </c>
      <c r="U15" s="107">
        <f t="shared" si="3"/>
        <v>0.0657777777777778</v>
      </c>
      <c r="V15" s="105">
        <f t="shared" si="4"/>
        <v>2</v>
      </c>
      <c r="W15" s="106">
        <f t="shared" si="5"/>
        <v>0.552238805970149</v>
      </c>
      <c r="X15" s="107">
        <f t="shared" si="6"/>
        <v>0.447761194029851</v>
      </c>
      <c r="Y15" s="105">
        <f t="shared" si="18"/>
        <v>0.236673773987207</v>
      </c>
      <c r="Z15" s="106">
        <f t="shared" si="8"/>
        <v>0.355784885098318</v>
      </c>
      <c r="AA15" s="106">
        <f t="shared" si="19"/>
        <v>0.0948398069931345</v>
      </c>
      <c r="AB15" s="106">
        <v>0</v>
      </c>
      <c r="AC15" s="106">
        <f t="shared" si="20"/>
        <v>8.99458899049501e-5</v>
      </c>
      <c r="AD15" s="107">
        <f t="shared" si="21"/>
        <v>8.99458899049501e-5</v>
      </c>
      <c r="AE15" s="105">
        <f t="shared" si="22"/>
        <v>0.00193733554449972</v>
      </c>
      <c r="AF15" s="106">
        <f t="shared" si="23"/>
        <v>0.0948398069931345</v>
      </c>
      <c r="AG15" s="106">
        <f t="shared" si="10"/>
        <v>7.28561708230096e-5</v>
      </c>
      <c r="AH15" s="106">
        <f t="shared" si="11"/>
        <v>-0.000568984012979375</v>
      </c>
      <c r="AI15" s="107">
        <f t="shared" si="24"/>
        <v>-0.000496127842156365</v>
      </c>
      <c r="AJ15" s="105">
        <f t="shared" si="25"/>
        <v>0.0533333333333333</v>
      </c>
      <c r="AK15" s="106">
        <f t="shared" si="26"/>
        <v>0.165334700890885</v>
      </c>
      <c r="AL15" s="106">
        <f t="shared" si="27"/>
        <v>0.0173333333333333</v>
      </c>
      <c r="AM15" s="106">
        <f t="shared" si="14"/>
        <v>0</v>
      </c>
      <c r="AN15" s="107">
        <f t="shared" si="28"/>
        <v>0.0173333333333333</v>
      </c>
      <c r="AO15" s="105">
        <f t="shared" si="15"/>
        <v>8.99458899049501e-5</v>
      </c>
      <c r="AP15" s="106">
        <f t="shared" si="16"/>
        <v>0.055944</v>
      </c>
      <c r="AQ15" s="107">
        <f t="shared" si="29"/>
        <v>0.0099</v>
      </c>
      <c r="AR15" s="105">
        <f t="shared" si="30"/>
        <v>0.0827711513810819</v>
      </c>
      <c r="AS15" s="106">
        <f t="shared" si="31"/>
        <v>0.197333333333333</v>
      </c>
      <c r="AT15" s="107">
        <f t="shared" si="32"/>
        <v>70.4499014125131</v>
      </c>
    </row>
    <row r="16" spans="1:46">
      <c r="Q16">
        <v>9</v>
      </c>
      <c r="R16" s="105">
        <f t="shared" si="0"/>
        <v>3.7</v>
      </c>
      <c r="S16" s="106">
        <f t="shared" si="1"/>
        <v>0.06</v>
      </c>
      <c r="T16" s="106">
        <f t="shared" si="2"/>
        <v>3</v>
      </c>
      <c r="U16" s="107">
        <f t="shared" si="3"/>
        <v>0.074</v>
      </c>
      <c r="V16" s="105">
        <f t="shared" si="4"/>
        <v>2</v>
      </c>
      <c r="W16" s="106">
        <f t="shared" si="5"/>
        <v>0.552238805970149</v>
      </c>
      <c r="X16" s="107">
        <f t="shared" si="6"/>
        <v>0.447761194029851</v>
      </c>
      <c r="Y16" s="105">
        <f t="shared" si="18"/>
        <v>0.236673773987207</v>
      </c>
      <c r="Z16" s="106">
        <f t="shared" si="8"/>
        <v>0.370673773987207</v>
      </c>
      <c r="AA16" s="106">
        <f t="shared" si="19"/>
        <v>0.100716795725005</v>
      </c>
      <c r="AB16" s="106">
        <v>0</v>
      </c>
      <c r="AC16" s="106">
        <f t="shared" si="20"/>
        <v>0.000101438729411123</v>
      </c>
      <c r="AD16" s="107">
        <f t="shared" si="21"/>
        <v>0.000101438729411123</v>
      </c>
      <c r="AE16" s="105">
        <f t="shared" si="22"/>
        <v>0.00245194029850746</v>
      </c>
      <c r="AF16" s="106">
        <f t="shared" si="23"/>
        <v>0.100716795725005</v>
      </c>
      <c r="AG16" s="106">
        <f t="shared" si="10"/>
        <v>8.21653708230095e-5</v>
      </c>
      <c r="AH16" s="106">
        <f t="shared" si="11"/>
        <v>-0.000640107014601797</v>
      </c>
      <c r="AI16" s="107">
        <f t="shared" si="24"/>
        <v>-0.000557941643778787</v>
      </c>
      <c r="AJ16" s="105">
        <f t="shared" si="25"/>
        <v>0.06</v>
      </c>
      <c r="AK16" s="106">
        <f t="shared" si="26"/>
        <v>0.174930831719285</v>
      </c>
      <c r="AL16" s="106">
        <f t="shared" si="27"/>
        <v>0.0195</v>
      </c>
      <c r="AM16" s="106">
        <f t="shared" si="14"/>
        <v>0</v>
      </c>
      <c r="AN16" s="107">
        <f t="shared" si="28"/>
        <v>0.0195</v>
      </c>
      <c r="AO16" s="105">
        <f t="shared" si="15"/>
        <v>0.000101438729411123</v>
      </c>
      <c r="AP16" s="106">
        <f t="shared" si="16"/>
        <v>0.055944</v>
      </c>
      <c r="AQ16" s="107">
        <f t="shared" si="29"/>
        <v>0.0099</v>
      </c>
      <c r="AR16" s="105">
        <f t="shared" si="30"/>
        <v>0.0848874970856323</v>
      </c>
      <c r="AS16" s="106">
        <f t="shared" si="31"/>
        <v>0.222</v>
      </c>
      <c r="AT16" s="107">
        <f t="shared" si="32"/>
        <v>72.3392129390186</v>
      </c>
    </row>
    <row r="17" spans="17:46">
      <c r="Q17">
        <v>10</v>
      </c>
      <c r="R17" s="105">
        <f t="shared" si="0"/>
        <v>3.7</v>
      </c>
      <c r="S17" s="106">
        <f t="shared" si="1"/>
        <v>0.0666666666666667</v>
      </c>
      <c r="T17" s="106">
        <f t="shared" si="2"/>
        <v>3</v>
      </c>
      <c r="U17" s="107">
        <f t="shared" si="3"/>
        <v>0.0822222222222222</v>
      </c>
      <c r="V17" s="105">
        <f t="shared" si="4"/>
        <v>2</v>
      </c>
      <c r="W17" s="106">
        <f t="shared" si="5"/>
        <v>0.552238805970149</v>
      </c>
      <c r="X17" s="107">
        <f t="shared" si="6"/>
        <v>0.447761194029851</v>
      </c>
      <c r="Y17" s="105">
        <f t="shared" si="18"/>
        <v>0.236673773987207</v>
      </c>
      <c r="Z17" s="106">
        <f t="shared" si="8"/>
        <v>0.385562662876096</v>
      </c>
      <c r="AA17" s="106">
        <f t="shared" si="19"/>
        <v>0.106903539549787</v>
      </c>
      <c r="AB17" s="106">
        <v>0</v>
      </c>
      <c r="AC17" s="106">
        <f t="shared" si="20"/>
        <v>0.000114283667682728</v>
      </c>
      <c r="AD17" s="107">
        <f t="shared" si="21"/>
        <v>0.000114283667682728</v>
      </c>
      <c r="AE17" s="105">
        <f t="shared" si="22"/>
        <v>0.00302708678828082</v>
      </c>
      <c r="AF17" s="106">
        <f t="shared" si="23"/>
        <v>0.106903539549787</v>
      </c>
      <c r="AG17" s="106">
        <f t="shared" si="10"/>
        <v>9.25697708230095e-5</v>
      </c>
      <c r="AH17" s="106">
        <f t="shared" si="11"/>
        <v>-0.000711230016224219</v>
      </c>
      <c r="AI17" s="107">
        <f t="shared" si="24"/>
        <v>-0.000618660245401209</v>
      </c>
      <c r="AJ17" s="105">
        <f t="shared" si="25"/>
        <v>0.0666666666666667</v>
      </c>
      <c r="AK17" s="106">
        <f t="shared" si="26"/>
        <v>0.184565833706679</v>
      </c>
      <c r="AL17" s="106">
        <f t="shared" si="27"/>
        <v>0.0216666666666667</v>
      </c>
      <c r="AM17" s="106">
        <f t="shared" si="14"/>
        <v>0</v>
      </c>
      <c r="AN17" s="107">
        <f t="shared" si="28"/>
        <v>0.0216666666666667</v>
      </c>
      <c r="AO17" s="105">
        <f t="shared" si="15"/>
        <v>0.000114283667682728</v>
      </c>
      <c r="AP17" s="106">
        <f t="shared" si="16"/>
        <v>0.055944</v>
      </c>
      <c r="AQ17" s="107">
        <f t="shared" si="29"/>
        <v>0.0099</v>
      </c>
      <c r="AR17" s="105">
        <f t="shared" si="30"/>
        <v>0.0870062900889482</v>
      </c>
      <c r="AS17" s="106">
        <f t="shared" si="31"/>
        <v>0.246666666666667</v>
      </c>
      <c r="AT17" s="107">
        <f t="shared" si="32"/>
        <v>73.9246803412143</v>
      </c>
    </row>
    <row r="18" spans="17:46">
      <c r="Q18">
        <v>11</v>
      </c>
      <c r="R18" s="105">
        <f t="shared" si="0"/>
        <v>3.7</v>
      </c>
      <c r="S18" s="106">
        <f t="shared" si="1"/>
        <v>0.0733333333333333</v>
      </c>
      <c r="T18" s="106">
        <f t="shared" si="2"/>
        <v>3</v>
      </c>
      <c r="U18" s="107">
        <f t="shared" si="3"/>
        <v>0.0904444444444445</v>
      </c>
      <c r="V18" s="105">
        <f t="shared" si="4"/>
        <v>2</v>
      </c>
      <c r="W18" s="106">
        <f t="shared" si="5"/>
        <v>0.552238805970149</v>
      </c>
      <c r="X18" s="107">
        <f t="shared" si="6"/>
        <v>0.447761194029851</v>
      </c>
      <c r="Y18" s="105">
        <f t="shared" si="18"/>
        <v>0.236673773987207</v>
      </c>
      <c r="Z18" s="106">
        <f t="shared" si="8"/>
        <v>0.400451551764985</v>
      </c>
      <c r="AA18" s="106">
        <f t="shared" si="19"/>
        <v>0.113349329384767</v>
      </c>
      <c r="AB18" s="106">
        <v>0</v>
      </c>
      <c r="AC18" s="106">
        <f t="shared" si="20"/>
        <v>0.000128480704719765</v>
      </c>
      <c r="AD18" s="107">
        <f t="shared" si="21"/>
        <v>0.000128480704719765</v>
      </c>
      <c r="AE18" s="105">
        <f t="shared" si="22"/>
        <v>0.00366277501381979</v>
      </c>
      <c r="AF18" s="106">
        <f t="shared" si="23"/>
        <v>0.113349329384767</v>
      </c>
      <c r="AG18" s="106">
        <f t="shared" si="10"/>
        <v>0.00010406937082301</v>
      </c>
      <c r="AH18" s="106">
        <f t="shared" si="11"/>
        <v>-0.000782353017846641</v>
      </c>
      <c r="AI18" s="107">
        <f t="shared" si="24"/>
        <v>-0.000678283647023631</v>
      </c>
      <c r="AJ18" s="105">
        <f t="shared" si="25"/>
        <v>0.0733333333333333</v>
      </c>
      <c r="AK18" s="106">
        <f t="shared" si="26"/>
        <v>0.194233922310704</v>
      </c>
      <c r="AL18" s="106">
        <f t="shared" si="27"/>
        <v>0.0238333333333333</v>
      </c>
      <c r="AM18" s="106">
        <f t="shared" si="14"/>
        <v>0</v>
      </c>
      <c r="AN18" s="107">
        <f t="shared" si="28"/>
        <v>0.0238333333333333</v>
      </c>
      <c r="AO18" s="105">
        <f t="shared" si="15"/>
        <v>0.000128480704719765</v>
      </c>
      <c r="AP18" s="106">
        <f t="shared" si="16"/>
        <v>0.055944</v>
      </c>
      <c r="AQ18" s="107">
        <f t="shared" si="29"/>
        <v>0.0099</v>
      </c>
      <c r="AR18" s="105">
        <f t="shared" si="30"/>
        <v>0.0891275303910295</v>
      </c>
      <c r="AS18" s="106">
        <f t="shared" si="31"/>
        <v>0.271333333333333</v>
      </c>
      <c r="AT18" s="107">
        <f t="shared" si="32"/>
        <v>75.2740063178721</v>
      </c>
    </row>
    <row r="19" spans="17:46">
      <c r="Q19">
        <v>12</v>
      </c>
      <c r="R19" s="105">
        <f t="shared" si="0"/>
        <v>3.7</v>
      </c>
      <c r="S19" s="106">
        <f t="shared" si="1"/>
        <v>0.08</v>
      </c>
      <c r="T19" s="106">
        <f t="shared" si="2"/>
        <v>3</v>
      </c>
      <c r="U19" s="107">
        <f t="shared" si="3"/>
        <v>0.0986666666666667</v>
      </c>
      <c r="V19" s="105">
        <f t="shared" si="4"/>
        <v>2</v>
      </c>
      <c r="W19" s="106">
        <f t="shared" si="5"/>
        <v>0.552238805970149</v>
      </c>
      <c r="X19" s="107">
        <f t="shared" si="6"/>
        <v>0.447761194029851</v>
      </c>
      <c r="Y19" s="105">
        <f t="shared" si="18"/>
        <v>0.236673773987207</v>
      </c>
      <c r="Z19" s="106">
        <f t="shared" si="8"/>
        <v>0.415340440653874</v>
      </c>
      <c r="AA19" s="106">
        <f t="shared" si="19"/>
        <v>0.120012432906859</v>
      </c>
      <c r="AB19" s="106">
        <v>0</v>
      </c>
      <c r="AC19" s="106">
        <f t="shared" si="20"/>
        <v>0.000144029840522234</v>
      </c>
      <c r="AD19" s="107">
        <f t="shared" si="21"/>
        <v>0.000144029840522234</v>
      </c>
      <c r="AE19" s="105">
        <f t="shared" si="22"/>
        <v>0.00435900497512438</v>
      </c>
      <c r="AF19" s="106">
        <f t="shared" si="23"/>
        <v>0.120012432906859</v>
      </c>
      <c r="AG19" s="106">
        <f t="shared" si="10"/>
        <v>0.00011666417082301</v>
      </c>
      <c r="AH19" s="106">
        <f t="shared" si="11"/>
        <v>-0.000853476019469063</v>
      </c>
      <c r="AI19" s="107">
        <f t="shared" si="24"/>
        <v>-0.000736811848646053</v>
      </c>
      <c r="AJ19" s="105">
        <f t="shared" si="25"/>
        <v>0.08</v>
      </c>
      <c r="AK19" s="106">
        <f t="shared" si="26"/>
        <v>0.203930391798472</v>
      </c>
      <c r="AL19" s="106">
        <f t="shared" si="27"/>
        <v>0.026</v>
      </c>
      <c r="AM19" s="106">
        <f t="shared" si="14"/>
        <v>0</v>
      </c>
      <c r="AN19" s="107">
        <f t="shared" si="28"/>
        <v>0.026</v>
      </c>
      <c r="AO19" s="105">
        <f t="shared" si="15"/>
        <v>0.000144029840522234</v>
      </c>
      <c r="AP19" s="106">
        <f t="shared" si="16"/>
        <v>0.055944</v>
      </c>
      <c r="AQ19" s="107">
        <f t="shared" si="29"/>
        <v>0.0099</v>
      </c>
      <c r="AR19" s="105">
        <f t="shared" si="30"/>
        <v>0.0912512179918762</v>
      </c>
      <c r="AS19" s="106">
        <f t="shared" si="31"/>
        <v>0.296</v>
      </c>
      <c r="AT19" s="107">
        <f t="shared" si="32"/>
        <v>76.4361701778326</v>
      </c>
    </row>
    <row r="20" spans="17:46">
      <c r="Q20">
        <v>13</v>
      </c>
      <c r="R20" s="105">
        <f t="shared" si="0"/>
        <v>3.7</v>
      </c>
      <c r="S20" s="106">
        <f t="shared" si="1"/>
        <v>0.0866666666666667</v>
      </c>
      <c r="T20" s="106">
        <f t="shared" si="2"/>
        <v>3</v>
      </c>
      <c r="U20" s="107">
        <f t="shared" si="3"/>
        <v>0.106888888888889</v>
      </c>
      <c r="V20" s="105">
        <f t="shared" si="4"/>
        <v>2</v>
      </c>
      <c r="W20" s="106">
        <f t="shared" si="5"/>
        <v>0.552238805970149</v>
      </c>
      <c r="X20" s="107">
        <f t="shared" si="6"/>
        <v>0.447761194029851</v>
      </c>
      <c r="Y20" s="105">
        <f t="shared" si="18"/>
        <v>0.236673773987207</v>
      </c>
      <c r="Z20" s="106">
        <f t="shared" ref="Z20:Z71" si="33">CHOOSE(V20,Y20,U20+S20+(Y20))</f>
        <v>0.430229329542762</v>
      </c>
      <c r="AA20" s="106">
        <f t="shared" si="19"/>
        <v>0.126858612277659</v>
      </c>
      <c r="AB20" s="106">
        <v>0</v>
      </c>
      <c r="AC20" s="106">
        <f t="shared" si="20"/>
        <v>0.000160931075090135</v>
      </c>
      <c r="AD20" s="107">
        <f t="shared" si="21"/>
        <v>0.000160931075090135</v>
      </c>
      <c r="AE20" s="105">
        <f t="shared" si="22"/>
        <v>0.00511577667219458</v>
      </c>
      <c r="AF20" s="106">
        <f t="shared" si="23"/>
        <v>0.126858612277659</v>
      </c>
      <c r="AG20" s="106">
        <f t="shared" si="10"/>
        <v>0.00013035417082301</v>
      </c>
      <c r="AH20" s="106">
        <f t="shared" si="11"/>
        <v>-0.000924599021091484</v>
      </c>
      <c r="AI20" s="107">
        <f t="shared" si="24"/>
        <v>-0.000794244850268475</v>
      </c>
      <c r="AJ20" s="105">
        <f t="shared" si="25"/>
        <v>0.0866666666666667</v>
      </c>
      <c r="AK20" s="106">
        <f t="shared" si="26"/>
        <v>0.213651378044876</v>
      </c>
      <c r="AL20" s="106">
        <f t="shared" si="27"/>
        <v>0.0281666666666667</v>
      </c>
      <c r="AM20" s="106">
        <f t="shared" si="14"/>
        <v>0</v>
      </c>
      <c r="AN20" s="107">
        <f t="shared" si="28"/>
        <v>0.0281666666666667</v>
      </c>
      <c r="AO20" s="105">
        <f t="shared" si="15"/>
        <v>0.000160931075090135</v>
      </c>
      <c r="AP20" s="106">
        <f t="shared" si="16"/>
        <v>0.055944</v>
      </c>
      <c r="AQ20" s="107">
        <f t="shared" si="29"/>
        <v>0.0099</v>
      </c>
      <c r="AR20" s="105">
        <f t="shared" si="30"/>
        <v>0.0933773528914883</v>
      </c>
      <c r="AS20" s="106">
        <f t="shared" si="31"/>
        <v>0.320666666666667</v>
      </c>
      <c r="AT20" s="107">
        <f t="shared" si="32"/>
        <v>77.4474817940528</v>
      </c>
    </row>
    <row r="21" spans="17:46">
      <c r="Q21">
        <v>14</v>
      </c>
      <c r="R21" s="105">
        <f t="shared" si="0"/>
        <v>3.7</v>
      </c>
      <c r="S21" s="106">
        <f t="shared" si="1"/>
        <v>0.0933333333333333</v>
      </c>
      <c r="T21" s="106">
        <f t="shared" si="2"/>
        <v>3</v>
      </c>
      <c r="U21" s="107">
        <f t="shared" si="3"/>
        <v>0.115111111111111</v>
      </c>
      <c r="V21" s="105">
        <f t="shared" si="4"/>
        <v>2</v>
      </c>
      <c r="W21" s="106">
        <f t="shared" si="5"/>
        <v>0.552238805970149</v>
      </c>
      <c r="X21" s="107">
        <f t="shared" si="6"/>
        <v>0.447761194029851</v>
      </c>
      <c r="Y21" s="105">
        <f t="shared" si="18"/>
        <v>0.236673773987207</v>
      </c>
      <c r="Z21" s="106">
        <f t="shared" si="33"/>
        <v>0.445118218431651</v>
      </c>
      <c r="AA21" s="106">
        <f t="shared" si="19"/>
        <v>0.133859780525544</v>
      </c>
      <c r="AB21" s="106">
        <v>0</v>
      </c>
      <c r="AC21" s="106">
        <f t="shared" si="20"/>
        <v>0.000179184408423469</v>
      </c>
      <c r="AD21" s="107">
        <f t="shared" si="21"/>
        <v>0.000179184408423469</v>
      </c>
      <c r="AE21" s="105">
        <f t="shared" si="22"/>
        <v>0.0059330901050304</v>
      </c>
      <c r="AF21" s="106">
        <f t="shared" si="23"/>
        <v>0.133859780525544</v>
      </c>
      <c r="AG21" s="106">
        <f t="shared" si="10"/>
        <v>0.00014513937082301</v>
      </c>
      <c r="AH21" s="106">
        <f t="shared" si="11"/>
        <v>-0.000995722022713906</v>
      </c>
      <c r="AI21" s="107">
        <f t="shared" si="24"/>
        <v>-0.000850582651890897</v>
      </c>
      <c r="AJ21" s="105">
        <f t="shared" si="25"/>
        <v>0.0933333333333333</v>
      </c>
      <c r="AK21" s="106">
        <f t="shared" si="26"/>
        <v>0.223393680529215</v>
      </c>
      <c r="AL21" s="106">
        <f t="shared" si="27"/>
        <v>0.0303333333333333</v>
      </c>
      <c r="AM21" s="106">
        <f t="shared" si="14"/>
        <v>0</v>
      </c>
      <c r="AN21" s="107">
        <f t="shared" si="28"/>
        <v>0.0303333333333333</v>
      </c>
      <c r="AO21" s="105">
        <f t="shared" si="15"/>
        <v>0.000179184408423469</v>
      </c>
      <c r="AP21" s="106">
        <f t="shared" si="16"/>
        <v>0.055944</v>
      </c>
      <c r="AQ21" s="107">
        <f t="shared" si="29"/>
        <v>0.0099</v>
      </c>
      <c r="AR21" s="105">
        <f t="shared" si="30"/>
        <v>0.0955059350898659</v>
      </c>
      <c r="AS21" s="106">
        <f t="shared" si="31"/>
        <v>0.345333333333333</v>
      </c>
      <c r="AT21" s="107">
        <f t="shared" si="32"/>
        <v>78.3354292752837</v>
      </c>
    </row>
    <row r="22" spans="17:46">
      <c r="Q22">
        <v>15</v>
      </c>
      <c r="R22" s="105">
        <f t="shared" si="0"/>
        <v>3.7</v>
      </c>
      <c r="S22" s="106">
        <f t="shared" si="1"/>
        <v>0.1</v>
      </c>
      <c r="T22" s="106">
        <f t="shared" si="2"/>
        <v>3</v>
      </c>
      <c r="U22" s="107">
        <f t="shared" si="3"/>
        <v>0.123333333333333</v>
      </c>
      <c r="V22" s="105">
        <f t="shared" si="4"/>
        <v>2</v>
      </c>
      <c r="W22" s="106">
        <f t="shared" si="5"/>
        <v>0.552238805970149</v>
      </c>
      <c r="X22" s="107">
        <f t="shared" si="6"/>
        <v>0.447761194029851</v>
      </c>
      <c r="Y22" s="105">
        <f t="shared" si="18"/>
        <v>0.236673773987207</v>
      </c>
      <c r="Z22" s="106">
        <f t="shared" si="33"/>
        <v>0.46000710732054</v>
      </c>
      <c r="AA22" s="106">
        <f t="shared" si="19"/>
        <v>0.140992851067788</v>
      </c>
      <c r="AB22" s="106">
        <v>0</v>
      </c>
      <c r="AC22" s="106">
        <f t="shared" si="20"/>
        <v>0.000198789840522234</v>
      </c>
      <c r="AD22" s="107">
        <f t="shared" si="21"/>
        <v>0.000198789840522234</v>
      </c>
      <c r="AE22" s="105">
        <f t="shared" si="22"/>
        <v>0.00681094527363184</v>
      </c>
      <c r="AF22" s="106">
        <f t="shared" si="23"/>
        <v>0.140992851067788</v>
      </c>
      <c r="AG22" s="106">
        <f t="shared" si="10"/>
        <v>0.00016101977082301</v>
      </c>
      <c r="AH22" s="106">
        <f t="shared" si="11"/>
        <v>-0.00106684502433633</v>
      </c>
      <c r="AI22" s="107">
        <f t="shared" si="24"/>
        <v>-0.000905825253513319</v>
      </c>
      <c r="AJ22" s="105">
        <f t="shared" si="25"/>
        <v>0.1</v>
      </c>
      <c r="AK22" s="106">
        <f t="shared" si="26"/>
        <v>0.233154627187243</v>
      </c>
      <c r="AL22" s="106">
        <f t="shared" si="27"/>
        <v>0.0325</v>
      </c>
      <c r="AM22" s="106">
        <f t="shared" si="14"/>
        <v>0</v>
      </c>
      <c r="AN22" s="107">
        <f t="shared" si="28"/>
        <v>0.0325</v>
      </c>
      <c r="AO22" s="105">
        <f t="shared" si="15"/>
        <v>0.000198789840522234</v>
      </c>
      <c r="AP22" s="106">
        <f t="shared" si="16"/>
        <v>0.055944</v>
      </c>
      <c r="AQ22" s="107">
        <f t="shared" si="29"/>
        <v>0.0099</v>
      </c>
      <c r="AR22" s="105">
        <f t="shared" si="30"/>
        <v>0.0976369645870089</v>
      </c>
      <c r="AS22" s="106">
        <f t="shared" si="31"/>
        <v>0.37</v>
      </c>
      <c r="AT22" s="107">
        <f t="shared" si="32"/>
        <v>79.1212046991973</v>
      </c>
    </row>
    <row r="23" spans="17:46">
      <c r="Q23">
        <v>16</v>
      </c>
      <c r="R23" s="105">
        <f t="shared" si="0"/>
        <v>3.7</v>
      </c>
      <c r="S23" s="106">
        <f t="shared" si="1"/>
        <v>0.106666666666667</v>
      </c>
      <c r="T23" s="106">
        <f t="shared" si="2"/>
        <v>3</v>
      </c>
      <c r="U23" s="107">
        <f t="shared" si="3"/>
        <v>0.131555555555556</v>
      </c>
      <c r="V23" s="105">
        <f t="shared" si="4"/>
        <v>2</v>
      </c>
      <c r="W23" s="106">
        <f t="shared" si="5"/>
        <v>0.552238805970149</v>
      </c>
      <c r="X23" s="107">
        <f t="shared" si="6"/>
        <v>0.447761194029851</v>
      </c>
      <c r="Y23" s="105">
        <f t="shared" si="18"/>
        <v>0.236673773987207</v>
      </c>
      <c r="Z23" s="106">
        <f t="shared" si="33"/>
        <v>0.474895996209429</v>
      </c>
      <c r="AA23" s="106">
        <f t="shared" si="19"/>
        <v>0.148238784191733</v>
      </c>
      <c r="AB23" s="106">
        <v>0</v>
      </c>
      <c r="AC23" s="106">
        <f t="shared" si="20"/>
        <v>0.000219747371386432</v>
      </c>
      <c r="AD23" s="107">
        <f t="shared" si="21"/>
        <v>0.000219747371386432</v>
      </c>
      <c r="AE23" s="105">
        <f t="shared" si="22"/>
        <v>0.0077493421779989</v>
      </c>
      <c r="AF23" s="106">
        <f t="shared" si="23"/>
        <v>0.148238784191733</v>
      </c>
      <c r="AG23" s="106">
        <f t="shared" si="10"/>
        <v>0.00017799537082301</v>
      </c>
      <c r="AH23" s="106">
        <f t="shared" si="11"/>
        <v>-0.00113796802595875</v>
      </c>
      <c r="AI23" s="107">
        <f t="shared" si="24"/>
        <v>-0.00095997265513574</v>
      </c>
      <c r="AJ23" s="105">
        <f t="shared" si="25"/>
        <v>0.106666666666667</v>
      </c>
      <c r="AK23" s="106">
        <f t="shared" si="26"/>
        <v>0.242931970674455</v>
      </c>
      <c r="AL23" s="106">
        <f t="shared" si="27"/>
        <v>0.0346666666666667</v>
      </c>
      <c r="AM23" s="106">
        <f t="shared" si="14"/>
        <v>0</v>
      </c>
      <c r="AN23" s="107">
        <f t="shared" si="28"/>
        <v>0.0346666666666667</v>
      </c>
      <c r="AO23" s="105">
        <f t="shared" si="15"/>
        <v>0.000219747371386432</v>
      </c>
      <c r="AP23" s="106">
        <f t="shared" si="16"/>
        <v>0.055944</v>
      </c>
      <c r="AQ23" s="107">
        <f t="shared" si="29"/>
        <v>0.0099</v>
      </c>
      <c r="AR23" s="105">
        <f t="shared" si="30"/>
        <v>0.0997704413829174</v>
      </c>
      <c r="AS23" s="106">
        <f t="shared" si="31"/>
        <v>0.394666666666667</v>
      </c>
      <c r="AT23" s="107">
        <f t="shared" si="32"/>
        <v>79.8214090814333</v>
      </c>
    </row>
    <row r="24" spans="17:46">
      <c r="Q24">
        <v>17</v>
      </c>
      <c r="R24" s="105">
        <f t="shared" si="0"/>
        <v>3.7</v>
      </c>
      <c r="S24" s="106">
        <f t="shared" si="1"/>
        <v>0.113333333333333</v>
      </c>
      <c r="T24" s="106">
        <f t="shared" si="2"/>
        <v>3</v>
      </c>
      <c r="U24" s="107">
        <f t="shared" si="3"/>
        <v>0.139777777777778</v>
      </c>
      <c r="V24" s="105">
        <f t="shared" si="4"/>
        <v>2</v>
      </c>
      <c r="W24" s="106">
        <f t="shared" si="5"/>
        <v>0.552238805970149</v>
      </c>
      <c r="X24" s="107">
        <f t="shared" si="6"/>
        <v>0.447761194029851</v>
      </c>
      <c r="Y24" s="105">
        <f t="shared" si="18"/>
        <v>0.236673773987207</v>
      </c>
      <c r="Z24" s="106">
        <f t="shared" si="33"/>
        <v>0.489784885098318</v>
      </c>
      <c r="AA24" s="106">
        <f t="shared" si="19"/>
        <v>0.15558181160279</v>
      </c>
      <c r="AB24" s="106">
        <v>0</v>
      </c>
      <c r="AC24" s="106">
        <f t="shared" si="20"/>
        <v>0.000242057001016061</v>
      </c>
      <c r="AD24" s="107">
        <f t="shared" si="21"/>
        <v>0.000242057001016061</v>
      </c>
      <c r="AE24" s="105">
        <f t="shared" si="22"/>
        <v>0.00874828081813157</v>
      </c>
      <c r="AF24" s="106">
        <f t="shared" si="23"/>
        <v>0.15558181160279</v>
      </c>
      <c r="AG24" s="106">
        <f t="shared" si="10"/>
        <v>0.00019606617082301</v>
      </c>
      <c r="AH24" s="106">
        <f t="shared" si="11"/>
        <v>-0.00120909102758117</v>
      </c>
      <c r="AI24" s="107">
        <f t="shared" si="24"/>
        <v>-0.00101302485675816</v>
      </c>
      <c r="AJ24" s="105">
        <f t="shared" si="25"/>
        <v>0.113333333333333</v>
      </c>
      <c r="AK24" s="106">
        <f t="shared" si="26"/>
        <v>0.252723807923283</v>
      </c>
      <c r="AL24" s="106">
        <f t="shared" si="27"/>
        <v>0.0368333333333333</v>
      </c>
      <c r="AM24" s="106">
        <f t="shared" si="14"/>
        <v>0</v>
      </c>
      <c r="AN24" s="107">
        <f t="shared" si="28"/>
        <v>0.0368333333333333</v>
      </c>
      <c r="AO24" s="105">
        <f t="shared" si="15"/>
        <v>0.000242057001016061</v>
      </c>
      <c r="AP24" s="106">
        <f t="shared" si="16"/>
        <v>0.055944</v>
      </c>
      <c r="AQ24" s="107">
        <f t="shared" si="29"/>
        <v>0.0099</v>
      </c>
      <c r="AR24" s="105">
        <f t="shared" si="30"/>
        <v>0.101906365477591</v>
      </c>
      <c r="AS24" s="106">
        <f t="shared" si="31"/>
        <v>0.419333333333333</v>
      </c>
      <c r="AT24" s="107">
        <f t="shared" si="32"/>
        <v>80.4492317622651</v>
      </c>
    </row>
    <row r="25" spans="17:46">
      <c r="Q25">
        <v>18</v>
      </c>
      <c r="R25" s="105">
        <f t="shared" si="0"/>
        <v>3.7</v>
      </c>
      <c r="S25" s="106">
        <f t="shared" si="1"/>
        <v>0.12</v>
      </c>
      <c r="T25" s="106">
        <f t="shared" si="2"/>
        <v>3</v>
      </c>
      <c r="U25" s="107">
        <f t="shared" si="3"/>
        <v>0.148</v>
      </c>
      <c r="V25" s="105">
        <f t="shared" si="4"/>
        <v>2</v>
      </c>
      <c r="W25" s="106">
        <f t="shared" si="5"/>
        <v>0.552238805970149</v>
      </c>
      <c r="X25" s="107">
        <f t="shared" si="6"/>
        <v>0.447761194029851</v>
      </c>
      <c r="Y25" s="105">
        <f t="shared" si="18"/>
        <v>0.236673773987207</v>
      </c>
      <c r="Z25" s="106">
        <f t="shared" si="33"/>
        <v>0.504673773987207</v>
      </c>
      <c r="AA25" s="106">
        <f t="shared" si="19"/>
        <v>0.163008812464579</v>
      </c>
      <c r="AB25" s="106">
        <v>0</v>
      </c>
      <c r="AC25" s="106">
        <f t="shared" si="20"/>
        <v>0.000265718729411123</v>
      </c>
      <c r="AD25" s="107">
        <f t="shared" si="21"/>
        <v>0.000265718729411123</v>
      </c>
      <c r="AE25" s="105">
        <f t="shared" si="22"/>
        <v>0.00980776119402985</v>
      </c>
      <c r="AF25" s="106">
        <f t="shared" si="23"/>
        <v>0.163008812464579</v>
      </c>
      <c r="AG25" s="106">
        <f t="shared" si="10"/>
        <v>0.00021523217082301</v>
      </c>
      <c r="AH25" s="106">
        <f t="shared" si="11"/>
        <v>-0.00128021402920359</v>
      </c>
      <c r="AI25" s="107">
        <f t="shared" si="24"/>
        <v>-0.00106498185838058</v>
      </c>
      <c r="AJ25" s="105">
        <f t="shared" si="25"/>
        <v>0.12</v>
      </c>
      <c r="AK25" s="106">
        <f t="shared" si="26"/>
        <v>0.262528517165723</v>
      </c>
      <c r="AL25" s="106">
        <f t="shared" si="27"/>
        <v>0.039</v>
      </c>
      <c r="AM25" s="106">
        <f t="shared" si="14"/>
        <v>0</v>
      </c>
      <c r="AN25" s="107">
        <f t="shared" si="28"/>
        <v>0.039</v>
      </c>
      <c r="AO25" s="105">
        <f t="shared" si="15"/>
        <v>0.000265718729411123</v>
      </c>
      <c r="AP25" s="106">
        <f t="shared" si="16"/>
        <v>0.055944</v>
      </c>
      <c r="AQ25" s="107">
        <f t="shared" si="29"/>
        <v>0.0099</v>
      </c>
      <c r="AR25" s="105">
        <f t="shared" si="30"/>
        <v>0.104044736871031</v>
      </c>
      <c r="AS25" s="106">
        <f t="shared" si="31"/>
        <v>0.444</v>
      </c>
      <c r="AT25" s="107">
        <f t="shared" si="32"/>
        <v>81.0152839957817</v>
      </c>
    </row>
    <row r="26" spans="17:46">
      <c r="Q26">
        <v>19</v>
      </c>
      <c r="R26" s="105">
        <f t="shared" si="0"/>
        <v>3.7</v>
      </c>
      <c r="S26" s="106">
        <f t="shared" si="1"/>
        <v>0.126666666666667</v>
      </c>
      <c r="T26" s="106">
        <f t="shared" si="2"/>
        <v>3</v>
      </c>
      <c r="U26" s="107">
        <f t="shared" si="3"/>
        <v>0.156222222222222</v>
      </c>
      <c r="V26" s="105">
        <f t="shared" si="4"/>
        <v>2</v>
      </c>
      <c r="W26" s="106">
        <f t="shared" si="5"/>
        <v>0.552238805970149</v>
      </c>
      <c r="X26" s="107">
        <f t="shared" si="6"/>
        <v>0.447761194029851</v>
      </c>
      <c r="Y26" s="105">
        <f t="shared" si="18"/>
        <v>0.236673773987207</v>
      </c>
      <c r="Z26" s="106">
        <f t="shared" si="33"/>
        <v>0.519562662876096</v>
      </c>
      <c r="AA26" s="106">
        <f t="shared" si="19"/>
        <v>0.170508814016055</v>
      </c>
      <c r="AB26" s="106">
        <v>0</v>
      </c>
      <c r="AC26" s="106">
        <f t="shared" si="20"/>
        <v>0.000290732556571617</v>
      </c>
      <c r="AD26" s="107">
        <f t="shared" si="21"/>
        <v>0.000290732556571617</v>
      </c>
      <c r="AE26" s="105">
        <f t="shared" si="22"/>
        <v>0.0109277833056938</v>
      </c>
      <c r="AF26" s="106">
        <f t="shared" si="23"/>
        <v>0.170508814016055</v>
      </c>
      <c r="AG26" s="106">
        <f t="shared" si="10"/>
        <v>0.00023549337082301</v>
      </c>
      <c r="AH26" s="106">
        <f t="shared" si="11"/>
        <v>-0.00135133703082602</v>
      </c>
      <c r="AI26" s="107">
        <f t="shared" si="24"/>
        <v>-0.00111584366000301</v>
      </c>
      <c r="AJ26" s="105">
        <f t="shared" si="25"/>
        <v>0.126666666666667</v>
      </c>
      <c r="AK26" s="106">
        <f t="shared" si="26"/>
        <v>0.272344708187511</v>
      </c>
      <c r="AL26" s="106">
        <f t="shared" si="27"/>
        <v>0.0411666666666667</v>
      </c>
      <c r="AM26" s="106">
        <f t="shared" si="14"/>
        <v>0</v>
      </c>
      <c r="AN26" s="107">
        <f t="shared" si="28"/>
        <v>0.0411666666666667</v>
      </c>
      <c r="AO26" s="105">
        <f t="shared" si="15"/>
        <v>0.000290732556571617</v>
      </c>
      <c r="AP26" s="106">
        <f t="shared" si="16"/>
        <v>0.055944</v>
      </c>
      <c r="AQ26" s="107">
        <f t="shared" si="29"/>
        <v>0.0099</v>
      </c>
      <c r="AR26" s="105">
        <f t="shared" si="30"/>
        <v>0.106185555563235</v>
      </c>
      <c r="AS26" s="106">
        <f t="shared" si="31"/>
        <v>0.468666666666667</v>
      </c>
      <c r="AT26" s="107">
        <f t="shared" si="32"/>
        <v>81.5281995168546</v>
      </c>
    </row>
    <row r="27" spans="17:46">
      <c r="Q27">
        <v>20</v>
      </c>
      <c r="R27" s="105">
        <f t="shared" si="0"/>
        <v>3.7</v>
      </c>
      <c r="S27" s="106">
        <f t="shared" si="1"/>
        <v>0.133333333333333</v>
      </c>
      <c r="T27" s="106">
        <f t="shared" si="2"/>
        <v>3</v>
      </c>
      <c r="U27" s="107">
        <f t="shared" si="3"/>
        <v>0.164444444444444</v>
      </c>
      <c r="V27" s="105">
        <f t="shared" si="4"/>
        <v>2</v>
      </c>
      <c r="W27" s="106">
        <f t="shared" si="5"/>
        <v>0.552238805970149</v>
      </c>
      <c r="X27" s="107">
        <f t="shared" si="6"/>
        <v>0.447761194029851</v>
      </c>
      <c r="Y27" s="105">
        <f t="shared" si="18"/>
        <v>0.236673773987207</v>
      </c>
      <c r="Z27" s="106">
        <f t="shared" si="33"/>
        <v>0.534451551764985</v>
      </c>
      <c r="AA27" s="106">
        <f t="shared" si="19"/>
        <v>0.178072592640626</v>
      </c>
      <c r="AB27" s="106">
        <v>0</v>
      </c>
      <c r="AC27" s="106">
        <f t="shared" si="20"/>
        <v>0.000317098482497543</v>
      </c>
      <c r="AD27" s="107">
        <f t="shared" si="21"/>
        <v>0.000317098482497543</v>
      </c>
      <c r="AE27" s="105">
        <f t="shared" si="22"/>
        <v>0.0121083471531233</v>
      </c>
      <c r="AF27" s="106">
        <f t="shared" si="23"/>
        <v>0.178072592640626</v>
      </c>
      <c r="AG27" s="106">
        <f t="shared" si="10"/>
        <v>0.00025684977082301</v>
      </c>
      <c r="AH27" s="106">
        <f t="shared" si="11"/>
        <v>-0.00142246003244844</v>
      </c>
      <c r="AI27" s="107">
        <f t="shared" si="24"/>
        <v>-0.00116561026162543</v>
      </c>
      <c r="AJ27" s="105">
        <f t="shared" si="25"/>
        <v>0.133333333333333</v>
      </c>
      <c r="AK27" s="106">
        <f t="shared" si="26"/>
        <v>0.28217118270434</v>
      </c>
      <c r="AL27" s="106">
        <f t="shared" si="27"/>
        <v>0.0433333333333333</v>
      </c>
      <c r="AM27" s="106">
        <f t="shared" si="14"/>
        <v>0</v>
      </c>
      <c r="AN27" s="107">
        <f t="shared" si="28"/>
        <v>0.0433333333333333</v>
      </c>
      <c r="AO27" s="105">
        <f t="shared" si="15"/>
        <v>0.000317098482497543</v>
      </c>
      <c r="AP27" s="106">
        <f t="shared" si="16"/>
        <v>0.055944</v>
      </c>
      <c r="AQ27" s="107">
        <f t="shared" si="29"/>
        <v>0.0099</v>
      </c>
      <c r="AR27" s="105">
        <f t="shared" si="30"/>
        <v>0.108328821554205</v>
      </c>
      <c r="AS27" s="106">
        <f t="shared" si="31"/>
        <v>0.493333333333333</v>
      </c>
      <c r="AT27" s="107">
        <f t="shared" si="32"/>
        <v>81.9950746986149</v>
      </c>
    </row>
    <row r="28" spans="17:46">
      <c r="Q28">
        <v>21</v>
      </c>
      <c r="R28" s="105">
        <f t="shared" si="0"/>
        <v>3.7</v>
      </c>
      <c r="S28" s="106">
        <f t="shared" si="1"/>
        <v>0.14</v>
      </c>
      <c r="T28" s="106">
        <f t="shared" si="2"/>
        <v>3</v>
      </c>
      <c r="U28" s="107">
        <f t="shared" si="3"/>
        <v>0.172666666666667</v>
      </c>
      <c r="V28" s="105">
        <f t="shared" si="4"/>
        <v>2</v>
      </c>
      <c r="W28" s="106">
        <f t="shared" si="5"/>
        <v>0.552238805970149</v>
      </c>
      <c r="X28" s="107">
        <f t="shared" si="6"/>
        <v>0.447761194029851</v>
      </c>
      <c r="Y28" s="105">
        <f t="shared" si="18"/>
        <v>0.236673773987207</v>
      </c>
      <c r="Z28" s="106">
        <f t="shared" si="33"/>
        <v>0.549340440653874</v>
      </c>
      <c r="AA28" s="106">
        <f t="shared" si="19"/>
        <v>0.1856923550362</v>
      </c>
      <c r="AB28" s="106">
        <v>0</v>
      </c>
      <c r="AC28" s="106">
        <f t="shared" si="20"/>
        <v>0.000344816507188901</v>
      </c>
      <c r="AD28" s="107">
        <f t="shared" si="21"/>
        <v>0.000344816507188901</v>
      </c>
      <c r="AE28" s="105">
        <f t="shared" si="22"/>
        <v>0.0133494527363184</v>
      </c>
      <c r="AF28" s="106">
        <f t="shared" si="23"/>
        <v>0.1856923550362</v>
      </c>
      <c r="AG28" s="106">
        <f t="shared" si="10"/>
        <v>0.00027930137082301</v>
      </c>
      <c r="AH28" s="106">
        <f t="shared" si="11"/>
        <v>-0.00149358303407086</v>
      </c>
      <c r="AI28" s="107">
        <f t="shared" si="24"/>
        <v>-0.00121428166324785</v>
      </c>
      <c r="AJ28" s="105">
        <f t="shared" si="25"/>
        <v>0.14</v>
      </c>
      <c r="AK28" s="106">
        <f t="shared" si="26"/>
        <v>0.292006902552509</v>
      </c>
      <c r="AL28" s="106">
        <f t="shared" si="27"/>
        <v>0.0455</v>
      </c>
      <c r="AM28" s="106">
        <f t="shared" si="14"/>
        <v>0</v>
      </c>
      <c r="AN28" s="107">
        <f t="shared" si="28"/>
        <v>0.0455</v>
      </c>
      <c r="AO28" s="105">
        <f t="shared" si="15"/>
        <v>0.000344816507188901</v>
      </c>
      <c r="AP28" s="106">
        <f t="shared" si="16"/>
        <v>0.055944</v>
      </c>
      <c r="AQ28" s="107">
        <f t="shared" si="29"/>
        <v>0.0099</v>
      </c>
      <c r="AR28" s="105">
        <f t="shared" si="30"/>
        <v>0.110474534843941</v>
      </c>
      <c r="AS28" s="106">
        <f t="shared" si="31"/>
        <v>0.518</v>
      </c>
      <c r="AT28" s="107">
        <f t="shared" si="32"/>
        <v>82.4217961557705</v>
      </c>
    </row>
    <row r="29" spans="17:46">
      <c r="Q29">
        <v>22</v>
      </c>
      <c r="R29" s="105">
        <f t="shared" si="0"/>
        <v>3.7</v>
      </c>
      <c r="S29" s="106">
        <f t="shared" si="1"/>
        <v>0.146666666666667</v>
      </c>
      <c r="T29" s="106">
        <f t="shared" si="2"/>
        <v>3</v>
      </c>
      <c r="U29" s="107">
        <f t="shared" si="3"/>
        <v>0.180888888888889</v>
      </c>
      <c r="V29" s="105">
        <f t="shared" si="4"/>
        <v>2</v>
      </c>
      <c r="W29" s="106">
        <f t="shared" si="5"/>
        <v>0.552238805970149</v>
      </c>
      <c r="X29" s="107">
        <f t="shared" si="6"/>
        <v>0.447761194029851</v>
      </c>
      <c r="Y29" s="105">
        <f t="shared" si="18"/>
        <v>0.236673773987207</v>
      </c>
      <c r="Z29" s="106">
        <f t="shared" si="33"/>
        <v>0.564229329542763</v>
      </c>
      <c r="AA29" s="106">
        <f t="shared" si="19"/>
        <v>0.1933614828878</v>
      </c>
      <c r="AB29" s="106">
        <v>0</v>
      </c>
      <c r="AC29" s="106">
        <f t="shared" si="20"/>
        <v>0.000373886630645691</v>
      </c>
      <c r="AD29" s="107">
        <f t="shared" si="21"/>
        <v>0.000373886630645691</v>
      </c>
      <c r="AE29" s="105">
        <f t="shared" si="22"/>
        <v>0.0146511000552792</v>
      </c>
      <c r="AF29" s="106">
        <f t="shared" si="23"/>
        <v>0.1933614828878</v>
      </c>
      <c r="AG29" s="106">
        <f t="shared" si="10"/>
        <v>0.00030284817082301</v>
      </c>
      <c r="AH29" s="106">
        <f t="shared" si="11"/>
        <v>-0.00156470603569328</v>
      </c>
      <c r="AI29" s="107">
        <f t="shared" si="24"/>
        <v>-0.00126185786487027</v>
      </c>
      <c r="AJ29" s="105">
        <f t="shared" si="25"/>
        <v>0.146666666666667</v>
      </c>
      <c r="AK29" s="106">
        <f t="shared" si="26"/>
        <v>0.301850963964625</v>
      </c>
      <c r="AL29" s="106">
        <f t="shared" si="27"/>
        <v>0.0476666666666667</v>
      </c>
      <c r="AM29" s="106">
        <f t="shared" si="14"/>
        <v>0</v>
      </c>
      <c r="AN29" s="107">
        <f t="shared" si="28"/>
        <v>0.0476666666666667</v>
      </c>
      <c r="AO29" s="105">
        <f t="shared" si="15"/>
        <v>0.000373886630645691</v>
      </c>
      <c r="AP29" s="106">
        <f t="shared" si="16"/>
        <v>0.055944</v>
      </c>
      <c r="AQ29" s="107">
        <f t="shared" si="29"/>
        <v>0.0099</v>
      </c>
      <c r="AR29" s="105">
        <f t="shared" si="30"/>
        <v>0.112622695432442</v>
      </c>
      <c r="AS29" s="106">
        <f t="shared" si="31"/>
        <v>0.542666666666667</v>
      </c>
      <c r="AT29" s="107">
        <f t="shared" si="32"/>
        <v>82.8132879997206</v>
      </c>
    </row>
    <row r="30" spans="17:46">
      <c r="Q30">
        <v>23</v>
      </c>
      <c r="R30" s="105">
        <f t="shared" si="0"/>
        <v>3.7</v>
      </c>
      <c r="S30" s="106">
        <f t="shared" si="1"/>
        <v>0.153333333333333</v>
      </c>
      <c r="T30" s="106">
        <f t="shared" si="2"/>
        <v>3</v>
      </c>
      <c r="U30" s="107">
        <f t="shared" si="3"/>
        <v>0.189111111111111</v>
      </c>
      <c r="V30" s="105">
        <f t="shared" si="4"/>
        <v>2</v>
      </c>
      <c r="W30" s="106">
        <f t="shared" si="5"/>
        <v>0.552238805970149</v>
      </c>
      <c r="X30" s="107">
        <f t="shared" si="6"/>
        <v>0.447761194029851</v>
      </c>
      <c r="Y30" s="105">
        <f t="shared" si="18"/>
        <v>0.236673773987207</v>
      </c>
      <c r="Z30" s="106">
        <f t="shared" si="33"/>
        <v>0.579118218431651</v>
      </c>
      <c r="AA30" s="106">
        <f t="shared" si="19"/>
        <v>0.201074327766603</v>
      </c>
      <c r="AB30" s="106">
        <v>0</v>
      </c>
      <c r="AC30" s="106">
        <f t="shared" si="20"/>
        <v>0.000404308852867913</v>
      </c>
      <c r="AD30" s="107">
        <f t="shared" si="21"/>
        <v>0.000404308852867913</v>
      </c>
      <c r="AE30" s="105">
        <f t="shared" si="22"/>
        <v>0.0160132891100055</v>
      </c>
      <c r="AF30" s="106">
        <f t="shared" si="23"/>
        <v>0.201074327766603</v>
      </c>
      <c r="AG30" s="106">
        <f t="shared" si="10"/>
        <v>0.00032749017082301</v>
      </c>
      <c r="AH30" s="106">
        <f t="shared" si="11"/>
        <v>-0.0016358290373157</v>
      </c>
      <c r="AI30" s="107">
        <f t="shared" si="24"/>
        <v>-0.00130833886649269</v>
      </c>
      <c r="AJ30" s="105">
        <f t="shared" si="25"/>
        <v>0.153333333333333</v>
      </c>
      <c r="AK30" s="106">
        <f t="shared" si="26"/>
        <v>0.311702576622258</v>
      </c>
      <c r="AL30" s="106">
        <f t="shared" si="27"/>
        <v>0.0498333333333333</v>
      </c>
      <c r="AM30" s="106">
        <f t="shared" si="14"/>
        <v>0</v>
      </c>
      <c r="AN30" s="107">
        <f t="shared" si="28"/>
        <v>0.0498333333333333</v>
      </c>
      <c r="AO30" s="105">
        <f t="shared" si="15"/>
        <v>0.000404308852867913</v>
      </c>
      <c r="AP30" s="106">
        <f t="shared" si="16"/>
        <v>0.055944</v>
      </c>
      <c r="AQ30" s="107">
        <f t="shared" si="29"/>
        <v>0.0099</v>
      </c>
      <c r="AR30" s="105">
        <f t="shared" si="30"/>
        <v>0.114773303319709</v>
      </c>
      <c r="AS30" s="106">
        <f t="shared" si="31"/>
        <v>0.567333333333333</v>
      </c>
      <c r="AT30" s="107">
        <f t="shared" si="32"/>
        <v>83.173700833219</v>
      </c>
    </row>
    <row r="31" spans="17:46">
      <c r="Q31">
        <v>24</v>
      </c>
      <c r="R31" s="105">
        <f t="shared" si="0"/>
        <v>3.7</v>
      </c>
      <c r="S31" s="106">
        <f t="shared" si="1"/>
        <v>0.16</v>
      </c>
      <c r="T31" s="106">
        <f t="shared" si="2"/>
        <v>3</v>
      </c>
      <c r="U31" s="107">
        <f t="shared" si="3"/>
        <v>0.197333333333333</v>
      </c>
      <c r="V31" s="105">
        <f t="shared" si="4"/>
        <v>2</v>
      </c>
      <c r="W31" s="106">
        <f t="shared" si="5"/>
        <v>0.552238805970149</v>
      </c>
      <c r="X31" s="107">
        <f t="shared" si="6"/>
        <v>0.447761194029851</v>
      </c>
      <c r="Y31" s="105">
        <f t="shared" si="18"/>
        <v>0.236673773987207</v>
      </c>
      <c r="Z31" s="106">
        <f t="shared" si="33"/>
        <v>0.59400710732054</v>
      </c>
      <c r="AA31" s="106">
        <f t="shared" si="19"/>
        <v>0.20882604575473</v>
      </c>
      <c r="AB31" s="106">
        <v>0</v>
      </c>
      <c r="AC31" s="106">
        <f t="shared" si="20"/>
        <v>0.000436083173855567</v>
      </c>
      <c r="AD31" s="107">
        <f t="shared" si="21"/>
        <v>0.000436083173855567</v>
      </c>
      <c r="AE31" s="105">
        <f t="shared" si="22"/>
        <v>0.0174360199004975</v>
      </c>
      <c r="AF31" s="106">
        <f t="shared" si="23"/>
        <v>0.20882604575473</v>
      </c>
      <c r="AG31" s="106">
        <f t="shared" si="10"/>
        <v>0.00035322737082301</v>
      </c>
      <c r="AH31" s="106">
        <f t="shared" si="11"/>
        <v>-0.00170695203893813</v>
      </c>
      <c r="AI31" s="107">
        <f t="shared" si="24"/>
        <v>-0.00135372466811512</v>
      </c>
      <c r="AJ31" s="105">
        <f t="shared" si="25"/>
        <v>0.16</v>
      </c>
      <c r="AK31" s="106">
        <f t="shared" si="26"/>
        <v>0.321561046487373</v>
      </c>
      <c r="AL31" s="106">
        <f t="shared" si="27"/>
        <v>0.052</v>
      </c>
      <c r="AM31" s="106">
        <f t="shared" si="14"/>
        <v>0</v>
      </c>
      <c r="AN31" s="107">
        <f t="shared" si="28"/>
        <v>0.052</v>
      </c>
      <c r="AO31" s="105">
        <f t="shared" si="15"/>
        <v>0.000436083173855567</v>
      </c>
      <c r="AP31" s="106">
        <f t="shared" si="16"/>
        <v>0.055944</v>
      </c>
      <c r="AQ31" s="107">
        <f t="shared" si="29"/>
        <v>0.0099</v>
      </c>
      <c r="AR31" s="105">
        <f t="shared" si="30"/>
        <v>0.11692635850574</v>
      </c>
      <c r="AS31" s="106">
        <f t="shared" si="31"/>
        <v>0.592</v>
      </c>
      <c r="AT31" s="107">
        <f t="shared" si="32"/>
        <v>83.50655789521</v>
      </c>
    </row>
    <row r="32" spans="17:46">
      <c r="Q32">
        <v>25</v>
      </c>
      <c r="R32" s="105">
        <f t="shared" si="0"/>
        <v>3.7</v>
      </c>
      <c r="S32" s="106">
        <f t="shared" si="1"/>
        <v>0.166666666666667</v>
      </c>
      <c r="T32" s="106">
        <f t="shared" si="2"/>
        <v>3</v>
      </c>
      <c r="U32" s="107">
        <f t="shared" si="3"/>
        <v>0.205555555555556</v>
      </c>
      <c r="V32" s="105">
        <f t="shared" si="4"/>
        <v>2</v>
      </c>
      <c r="W32" s="106">
        <f t="shared" si="5"/>
        <v>0.552238805970149</v>
      </c>
      <c r="X32" s="107">
        <f t="shared" si="6"/>
        <v>0.447761194029851</v>
      </c>
      <c r="Y32" s="105">
        <f t="shared" si="18"/>
        <v>0.236673773987207</v>
      </c>
      <c r="Z32" s="106">
        <f t="shared" si="33"/>
        <v>0.608895996209429</v>
      </c>
      <c r="AA32" s="106">
        <f t="shared" si="19"/>
        <v>0.216612463539994</v>
      </c>
      <c r="AB32" s="106">
        <v>0</v>
      </c>
      <c r="AC32" s="106">
        <f t="shared" si="20"/>
        <v>0.000469209593608654</v>
      </c>
      <c r="AD32" s="107">
        <f t="shared" si="21"/>
        <v>0.000469209593608654</v>
      </c>
      <c r="AE32" s="105">
        <f t="shared" si="22"/>
        <v>0.0189192924267551</v>
      </c>
      <c r="AF32" s="106">
        <f t="shared" si="23"/>
        <v>0.216612463539994</v>
      </c>
      <c r="AG32" s="106">
        <f t="shared" si="10"/>
        <v>0.00038005977082301</v>
      </c>
      <c r="AH32" s="106">
        <f t="shared" si="11"/>
        <v>-0.00177807504056055</v>
      </c>
      <c r="AI32" s="107">
        <f t="shared" si="24"/>
        <v>-0.00139801526973754</v>
      </c>
      <c r="AJ32" s="105">
        <f t="shared" si="25"/>
        <v>0.166666666666667</v>
      </c>
      <c r="AK32" s="106">
        <f t="shared" si="26"/>
        <v>0.331425761644555</v>
      </c>
      <c r="AL32" s="106">
        <f t="shared" si="27"/>
        <v>0.0541666666666667</v>
      </c>
      <c r="AM32" s="106">
        <f t="shared" si="14"/>
        <v>0</v>
      </c>
      <c r="AN32" s="107">
        <f t="shared" si="28"/>
        <v>0.0541666666666667</v>
      </c>
      <c r="AO32" s="105">
        <f t="shared" si="15"/>
        <v>0.000469209593608654</v>
      </c>
      <c r="AP32" s="106">
        <f t="shared" si="16"/>
        <v>0.055944</v>
      </c>
      <c r="AQ32" s="107">
        <f t="shared" si="29"/>
        <v>0.0099</v>
      </c>
      <c r="AR32" s="105">
        <f t="shared" si="30"/>
        <v>0.119081860990538</v>
      </c>
      <c r="AS32" s="106">
        <f t="shared" si="31"/>
        <v>0.616666666666667</v>
      </c>
      <c r="AT32" s="107">
        <f t="shared" si="32"/>
        <v>83.8148692774524</v>
      </c>
    </row>
    <row r="33" spans="17:46">
      <c r="Q33">
        <v>26</v>
      </c>
      <c r="R33" s="105">
        <f t="shared" si="0"/>
        <v>3.7</v>
      </c>
      <c r="S33" s="106">
        <f t="shared" si="1"/>
        <v>0.173333333333333</v>
      </c>
      <c r="T33" s="106">
        <f t="shared" si="2"/>
        <v>3</v>
      </c>
      <c r="U33" s="107">
        <f t="shared" si="3"/>
        <v>0.213777777777778</v>
      </c>
      <c r="V33" s="105">
        <f t="shared" si="4"/>
        <v>2</v>
      </c>
      <c r="W33" s="106">
        <f t="shared" si="5"/>
        <v>0.552238805970149</v>
      </c>
      <c r="X33" s="107">
        <f t="shared" si="6"/>
        <v>0.447761194029851</v>
      </c>
      <c r="Y33" s="105">
        <f t="shared" si="18"/>
        <v>0.236673773987207</v>
      </c>
      <c r="Z33" s="106">
        <f t="shared" si="33"/>
        <v>0.623784885098318</v>
      </c>
      <c r="AA33" s="106">
        <f t="shared" si="19"/>
        <v>0.224429969506564</v>
      </c>
      <c r="AB33" s="106">
        <v>0</v>
      </c>
      <c r="AC33" s="106">
        <f t="shared" si="20"/>
        <v>0.000503688112127172</v>
      </c>
      <c r="AD33" s="107">
        <f t="shared" si="21"/>
        <v>0.000503688112127172</v>
      </c>
      <c r="AE33" s="105">
        <f t="shared" si="22"/>
        <v>0.0204631066887783</v>
      </c>
      <c r="AF33" s="106">
        <f t="shared" si="23"/>
        <v>0.224429969506564</v>
      </c>
      <c r="AG33" s="106">
        <f t="shared" si="10"/>
        <v>0.00040798737082301</v>
      </c>
      <c r="AH33" s="106">
        <f t="shared" si="11"/>
        <v>-0.00184919804218297</v>
      </c>
      <c r="AI33" s="107">
        <f t="shared" si="24"/>
        <v>-0.00144121067135996</v>
      </c>
      <c r="AJ33" s="105">
        <f t="shared" si="25"/>
        <v>0.173333333333333</v>
      </c>
      <c r="AK33" s="106">
        <f t="shared" si="26"/>
        <v>0.341296180558485</v>
      </c>
      <c r="AL33" s="106">
        <f t="shared" si="27"/>
        <v>0.0563333333333333</v>
      </c>
      <c r="AM33" s="106">
        <f t="shared" si="14"/>
        <v>0</v>
      </c>
      <c r="AN33" s="107">
        <f t="shared" si="28"/>
        <v>0.0563333333333333</v>
      </c>
      <c r="AO33" s="105">
        <f t="shared" si="15"/>
        <v>0.000503688112127172</v>
      </c>
      <c r="AP33" s="106">
        <f t="shared" si="16"/>
        <v>0.055944</v>
      </c>
      <c r="AQ33" s="107">
        <f t="shared" si="29"/>
        <v>0.0099</v>
      </c>
      <c r="AR33" s="105">
        <f t="shared" si="30"/>
        <v>0.121239810774101</v>
      </c>
      <c r="AS33" s="106">
        <f t="shared" si="31"/>
        <v>0.641333333333333</v>
      </c>
      <c r="AT33" s="107">
        <f t="shared" si="32"/>
        <v>84.1012220649329</v>
      </c>
    </row>
    <row r="34" spans="17:46">
      <c r="Q34">
        <v>27</v>
      </c>
      <c r="R34" s="105">
        <f t="shared" si="0"/>
        <v>3.7</v>
      </c>
      <c r="S34" s="106">
        <f t="shared" si="1"/>
        <v>0.18</v>
      </c>
      <c r="T34" s="106">
        <f t="shared" si="2"/>
        <v>3</v>
      </c>
      <c r="U34" s="107">
        <f t="shared" si="3"/>
        <v>0.222</v>
      </c>
      <c r="V34" s="105">
        <f t="shared" si="4"/>
        <v>2</v>
      </c>
      <c r="W34" s="106">
        <f t="shared" si="5"/>
        <v>0.552238805970149</v>
      </c>
      <c r="X34" s="107">
        <f t="shared" si="6"/>
        <v>0.447761194029851</v>
      </c>
      <c r="Y34" s="105">
        <f t="shared" si="18"/>
        <v>0.236673773987207</v>
      </c>
      <c r="Z34" s="106">
        <f t="shared" si="33"/>
        <v>0.638673773987207</v>
      </c>
      <c r="AA34" s="106">
        <f t="shared" si="19"/>
        <v>0.232275424746382</v>
      </c>
      <c r="AB34" s="106">
        <v>0</v>
      </c>
      <c r="AC34" s="106">
        <f t="shared" si="20"/>
        <v>0.000539518729411123</v>
      </c>
      <c r="AD34" s="107">
        <f t="shared" si="21"/>
        <v>0.000539518729411123</v>
      </c>
      <c r="AE34" s="105">
        <f t="shared" si="22"/>
        <v>0.0220674626865672</v>
      </c>
      <c r="AF34" s="106">
        <f t="shared" si="23"/>
        <v>0.232275424746382</v>
      </c>
      <c r="AG34" s="106">
        <f t="shared" si="10"/>
        <v>0.00043701017082301</v>
      </c>
      <c r="AH34" s="106">
        <f t="shared" si="11"/>
        <v>-0.00192032104380539</v>
      </c>
      <c r="AI34" s="107">
        <f t="shared" si="24"/>
        <v>-0.00148331087298238</v>
      </c>
      <c r="AJ34" s="105">
        <f t="shared" si="25"/>
        <v>0.18</v>
      </c>
      <c r="AK34" s="106">
        <f t="shared" si="26"/>
        <v>0.351171822281438</v>
      </c>
      <c r="AL34" s="106">
        <f t="shared" si="27"/>
        <v>0.0585</v>
      </c>
      <c r="AM34" s="106">
        <f t="shared" si="14"/>
        <v>0</v>
      </c>
      <c r="AN34" s="107">
        <f t="shared" si="28"/>
        <v>0.0585</v>
      </c>
      <c r="AO34" s="105">
        <f t="shared" si="15"/>
        <v>0.000539518729411123</v>
      </c>
      <c r="AP34" s="106">
        <f t="shared" si="16"/>
        <v>0.055944</v>
      </c>
      <c r="AQ34" s="107">
        <f t="shared" si="29"/>
        <v>0.0099</v>
      </c>
      <c r="AR34" s="105">
        <f t="shared" si="30"/>
        <v>0.123400207856429</v>
      </c>
      <c r="AS34" s="106">
        <f t="shared" si="31"/>
        <v>0.666</v>
      </c>
      <c r="AT34" s="107">
        <f t="shared" si="32"/>
        <v>84.3678521200907</v>
      </c>
    </row>
    <row r="35" spans="17:46">
      <c r="Q35">
        <v>28</v>
      </c>
      <c r="R35" s="105">
        <f t="shared" si="0"/>
        <v>3.7</v>
      </c>
      <c r="S35" s="106">
        <f t="shared" si="1"/>
        <v>0.186666666666667</v>
      </c>
      <c r="T35" s="106">
        <f t="shared" si="2"/>
        <v>3</v>
      </c>
      <c r="U35" s="107">
        <f t="shared" si="3"/>
        <v>0.230222222222222</v>
      </c>
      <c r="V35" s="105">
        <f t="shared" si="4"/>
        <v>2</v>
      </c>
      <c r="W35" s="106">
        <f t="shared" si="5"/>
        <v>0.552238805970149</v>
      </c>
      <c r="X35" s="107">
        <f t="shared" si="6"/>
        <v>0.447761194029851</v>
      </c>
      <c r="Y35" s="105">
        <f t="shared" si="18"/>
        <v>0.236673773987207</v>
      </c>
      <c r="Z35" s="106">
        <f t="shared" si="33"/>
        <v>0.653562662876096</v>
      </c>
      <c r="AA35" s="106">
        <f t="shared" si="19"/>
        <v>0.240146090007834</v>
      </c>
      <c r="AB35" s="106">
        <v>0</v>
      </c>
      <c r="AC35" s="106">
        <f t="shared" si="20"/>
        <v>0.000576701445460506</v>
      </c>
      <c r="AD35" s="107">
        <f t="shared" si="21"/>
        <v>0.000576701445460506</v>
      </c>
      <c r="AE35" s="105">
        <f t="shared" si="22"/>
        <v>0.0237323604201216</v>
      </c>
      <c r="AF35" s="106">
        <f t="shared" si="23"/>
        <v>0.240146090007834</v>
      </c>
      <c r="AG35" s="106">
        <f t="shared" si="10"/>
        <v>0.00046712817082301</v>
      </c>
      <c r="AH35" s="106">
        <f t="shared" si="11"/>
        <v>-0.00199144404542781</v>
      </c>
      <c r="AI35" s="107">
        <f t="shared" si="24"/>
        <v>-0.0015243158746048</v>
      </c>
      <c r="AJ35" s="105">
        <f t="shared" si="25"/>
        <v>0.186666666666667</v>
      </c>
      <c r="AK35" s="106">
        <f t="shared" si="26"/>
        <v>0.361052258244758</v>
      </c>
      <c r="AL35" s="106">
        <f t="shared" si="27"/>
        <v>0.0606666666666667</v>
      </c>
      <c r="AM35" s="106">
        <f t="shared" si="14"/>
        <v>0</v>
      </c>
      <c r="AN35" s="107">
        <f t="shared" si="28"/>
        <v>0.0606666666666667</v>
      </c>
      <c r="AO35" s="105">
        <f t="shared" si="15"/>
        <v>0.000576701445460506</v>
      </c>
      <c r="AP35" s="106">
        <f t="shared" si="16"/>
        <v>0.055944</v>
      </c>
      <c r="AQ35" s="107">
        <f t="shared" si="29"/>
        <v>0.0099</v>
      </c>
      <c r="AR35" s="105">
        <f t="shared" si="30"/>
        <v>0.125563052237522</v>
      </c>
      <c r="AS35" s="106">
        <f t="shared" si="31"/>
        <v>0.690666666666667</v>
      </c>
      <c r="AT35" s="107">
        <f t="shared" si="32"/>
        <v>84.6167017287616</v>
      </c>
    </row>
    <row r="36" spans="17:46">
      <c r="Q36">
        <v>29</v>
      </c>
      <c r="R36" s="105">
        <f t="shared" si="0"/>
        <v>3.7</v>
      </c>
      <c r="S36" s="106">
        <f t="shared" si="1"/>
        <v>0.193333333333333</v>
      </c>
      <c r="T36" s="106">
        <f t="shared" si="2"/>
        <v>3</v>
      </c>
      <c r="U36" s="107">
        <f t="shared" si="3"/>
        <v>0.238444444444444</v>
      </c>
      <c r="V36" s="105">
        <f t="shared" si="4"/>
        <v>2</v>
      </c>
      <c r="W36" s="106">
        <f t="shared" si="5"/>
        <v>0.552238805970149</v>
      </c>
      <c r="X36" s="107">
        <f t="shared" si="6"/>
        <v>0.447761194029851</v>
      </c>
      <c r="Y36" s="105">
        <f t="shared" si="18"/>
        <v>0.236673773987207</v>
      </c>
      <c r="Z36" s="106">
        <f t="shared" si="33"/>
        <v>0.668451551764985</v>
      </c>
      <c r="AA36" s="106">
        <f t="shared" si="19"/>
        <v>0.248039565447797</v>
      </c>
      <c r="AB36" s="106">
        <v>0</v>
      </c>
      <c r="AC36" s="106">
        <f t="shared" si="20"/>
        <v>0.000615236260275321</v>
      </c>
      <c r="AD36" s="107">
        <f t="shared" si="21"/>
        <v>0.000615236260275321</v>
      </c>
      <c r="AE36" s="105">
        <f t="shared" si="22"/>
        <v>0.0254577998894417</v>
      </c>
      <c r="AF36" s="106">
        <f t="shared" si="23"/>
        <v>0.248039565447797</v>
      </c>
      <c r="AG36" s="106">
        <f t="shared" si="10"/>
        <v>0.00049834137082301</v>
      </c>
      <c r="AH36" s="106">
        <f t="shared" si="11"/>
        <v>-0.00206256704705023</v>
      </c>
      <c r="AI36" s="107">
        <f t="shared" si="24"/>
        <v>-0.00156422567622723</v>
      </c>
      <c r="AJ36" s="105">
        <f t="shared" si="25"/>
        <v>0.193333333333333</v>
      </c>
      <c r="AK36" s="106">
        <f t="shared" si="26"/>
        <v>0.370937105344467</v>
      </c>
      <c r="AL36" s="106">
        <f t="shared" si="27"/>
        <v>0.0628333333333333</v>
      </c>
      <c r="AM36" s="106">
        <f t="shared" si="14"/>
        <v>0</v>
      </c>
      <c r="AN36" s="107">
        <f t="shared" si="28"/>
        <v>0.0628333333333333</v>
      </c>
      <c r="AO36" s="105">
        <f t="shared" si="15"/>
        <v>0.000615236260275321</v>
      </c>
      <c r="AP36" s="106">
        <f t="shared" si="16"/>
        <v>0.055944</v>
      </c>
      <c r="AQ36" s="107">
        <f t="shared" si="29"/>
        <v>0.0099</v>
      </c>
      <c r="AR36" s="105">
        <f t="shared" si="30"/>
        <v>0.127728343917381</v>
      </c>
      <c r="AS36" s="106">
        <f t="shared" si="31"/>
        <v>0.715333333333333</v>
      </c>
      <c r="AT36" s="107">
        <f t="shared" si="32"/>
        <v>84.849466253298</v>
      </c>
    </row>
    <row r="37" spans="17:46">
      <c r="Q37">
        <v>30</v>
      </c>
      <c r="R37" s="105">
        <f t="shared" si="0"/>
        <v>3.7</v>
      </c>
      <c r="S37" s="106">
        <f t="shared" si="1"/>
        <v>0.2</v>
      </c>
      <c r="T37" s="106">
        <f t="shared" si="2"/>
        <v>3</v>
      </c>
      <c r="U37" s="107">
        <f t="shared" si="3"/>
        <v>0.246666666666667</v>
      </c>
      <c r="V37" s="105">
        <f t="shared" si="4"/>
        <v>2</v>
      </c>
      <c r="W37" s="106">
        <f t="shared" si="5"/>
        <v>0.552238805970149</v>
      </c>
      <c r="X37" s="107">
        <f t="shared" si="6"/>
        <v>0.447761194029851</v>
      </c>
      <c r="Y37" s="105">
        <f t="shared" si="18"/>
        <v>0.236673773987207</v>
      </c>
      <c r="Z37" s="106">
        <f t="shared" si="33"/>
        <v>0.683340440653874</v>
      </c>
      <c r="AA37" s="106">
        <f t="shared" si="19"/>
        <v>0.255953740714131</v>
      </c>
      <c r="AB37" s="106">
        <v>0</v>
      </c>
      <c r="AC37" s="106">
        <f t="shared" si="20"/>
        <v>0.000655123173855567</v>
      </c>
      <c r="AD37" s="107">
        <f t="shared" si="21"/>
        <v>0.000655123173855567</v>
      </c>
      <c r="AE37" s="105">
        <f t="shared" si="22"/>
        <v>0.0272437810945274</v>
      </c>
      <c r="AF37" s="106">
        <f t="shared" si="23"/>
        <v>0.255953740714131</v>
      </c>
      <c r="AG37" s="106">
        <f t="shared" si="10"/>
        <v>0.00053064977082301</v>
      </c>
      <c r="AH37" s="106">
        <f t="shared" si="11"/>
        <v>-0.00213369004867266</v>
      </c>
      <c r="AI37" s="107">
        <f t="shared" si="24"/>
        <v>-0.00160304027784965</v>
      </c>
      <c r="AJ37" s="105">
        <f t="shared" si="25"/>
        <v>0.2</v>
      </c>
      <c r="AK37" s="106">
        <f t="shared" si="26"/>
        <v>0.380826020089939</v>
      </c>
      <c r="AL37" s="106">
        <f t="shared" si="27"/>
        <v>0.065</v>
      </c>
      <c r="AM37" s="106">
        <f t="shared" si="14"/>
        <v>0</v>
      </c>
      <c r="AN37" s="107">
        <f t="shared" si="28"/>
        <v>0.065</v>
      </c>
      <c r="AO37" s="105">
        <f t="shared" si="15"/>
        <v>0.000655123173855567</v>
      </c>
      <c r="AP37" s="106">
        <f t="shared" si="16"/>
        <v>0.055944</v>
      </c>
      <c r="AQ37" s="107">
        <f t="shared" si="29"/>
        <v>0.0099</v>
      </c>
      <c r="AR37" s="105">
        <f t="shared" si="30"/>
        <v>0.129896082896006</v>
      </c>
      <c r="AS37" s="106">
        <f t="shared" si="31"/>
        <v>0.74</v>
      </c>
      <c r="AT37" s="107">
        <f t="shared" si="32"/>
        <v>85.0676321631931</v>
      </c>
    </row>
    <row r="38" spans="17:46">
      <c r="Q38">
        <v>31</v>
      </c>
      <c r="R38" s="105">
        <f t="shared" si="0"/>
        <v>3.7</v>
      </c>
      <c r="S38" s="106">
        <f t="shared" si="1"/>
        <v>0.206666666666667</v>
      </c>
      <c r="T38" s="106">
        <f t="shared" si="2"/>
        <v>3</v>
      </c>
      <c r="U38" s="107">
        <f t="shared" si="3"/>
        <v>0.254888888888889</v>
      </c>
      <c r="V38" s="105">
        <f t="shared" si="4"/>
        <v>2</v>
      </c>
      <c r="W38" s="106">
        <f t="shared" si="5"/>
        <v>0.552238805970149</v>
      </c>
      <c r="X38" s="107">
        <f t="shared" si="6"/>
        <v>0.447761194029851</v>
      </c>
      <c r="Y38" s="105">
        <f t="shared" si="18"/>
        <v>0.236673773987207</v>
      </c>
      <c r="Z38" s="106">
        <f t="shared" si="33"/>
        <v>0.698229329542763</v>
      </c>
      <c r="AA38" s="106">
        <f t="shared" si="19"/>
        <v>0.263886753400251</v>
      </c>
      <c r="AB38" s="106">
        <v>0</v>
      </c>
      <c r="AC38" s="106">
        <f t="shared" si="20"/>
        <v>0.000696362186201247</v>
      </c>
      <c r="AD38" s="107">
        <f t="shared" si="21"/>
        <v>0.000696362186201247</v>
      </c>
      <c r="AE38" s="105">
        <f t="shared" si="22"/>
        <v>0.0290903040353787</v>
      </c>
      <c r="AF38" s="106">
        <f t="shared" si="23"/>
        <v>0.263886753400251</v>
      </c>
      <c r="AG38" s="106">
        <f t="shared" si="10"/>
        <v>0.00056405337082301</v>
      </c>
      <c r="AH38" s="106">
        <f t="shared" si="11"/>
        <v>-0.00220481305029508</v>
      </c>
      <c r="AI38" s="107">
        <f t="shared" si="24"/>
        <v>-0.00164075967947207</v>
      </c>
      <c r="AJ38" s="105">
        <f t="shared" si="25"/>
        <v>0.206666666666667</v>
      </c>
      <c r="AK38" s="106">
        <f t="shared" si="26"/>
        <v>0.390718693630433</v>
      </c>
      <c r="AL38" s="106">
        <f t="shared" si="27"/>
        <v>0.0671666666666667</v>
      </c>
      <c r="AM38" s="106">
        <f t="shared" si="14"/>
        <v>0</v>
      </c>
      <c r="AN38" s="107">
        <f t="shared" si="28"/>
        <v>0.0671666666666667</v>
      </c>
      <c r="AO38" s="105">
        <f t="shared" si="15"/>
        <v>0.000696362186201247</v>
      </c>
      <c r="AP38" s="106">
        <f t="shared" si="16"/>
        <v>0.055944</v>
      </c>
      <c r="AQ38" s="107">
        <f t="shared" si="29"/>
        <v>0.0099</v>
      </c>
      <c r="AR38" s="105">
        <f t="shared" si="30"/>
        <v>0.132066269173396</v>
      </c>
      <c r="AS38" s="106">
        <f t="shared" si="31"/>
        <v>0.764666666666667</v>
      </c>
      <c r="AT38" s="107">
        <f t="shared" si="32"/>
        <v>85.2725082468756</v>
      </c>
    </row>
    <row r="39" spans="17:46">
      <c r="Q39">
        <v>32</v>
      </c>
      <c r="R39" s="105">
        <f t="shared" si="0"/>
        <v>3.7</v>
      </c>
      <c r="S39" s="106">
        <f t="shared" ref="S39:S70" si="34">Q39*$O$12</f>
        <v>0.213333333333333</v>
      </c>
      <c r="T39" s="106">
        <f t="shared" si="2"/>
        <v>3</v>
      </c>
      <c r="U39" s="107">
        <f t="shared" ref="U39:U70" si="35">(R39*S39)/(T39*EFF_est)</f>
        <v>0.263111111111111</v>
      </c>
      <c r="V39" s="105">
        <f t="shared" ref="V39:V70" si="36">IF(S39&lt;((T39^2)*R39)/(2*Fsw*Lm*((T39+R39)^2)),1,2)</f>
        <v>2</v>
      </c>
      <c r="W39" s="106">
        <f t="shared" ref="W39:W70" si="37">CHOOSE(V39,SQRT(2*Lm*R39*S39*Fsw)/T39,R39/(T39+R39))</f>
        <v>0.552238805970149</v>
      </c>
      <c r="X39" s="107">
        <f t="shared" ref="X39:X70" si="38">CHOOSE(V39,(Lm*Z39*Fsw)/(R39),1-W39)</f>
        <v>0.447761194029851</v>
      </c>
      <c r="Y39" s="105">
        <f t="shared" si="18"/>
        <v>0.236673773987207</v>
      </c>
      <c r="Z39" s="106">
        <f t="shared" si="33"/>
        <v>0.713118218431651</v>
      </c>
      <c r="AA39" s="106">
        <f t="shared" si="19"/>
        <v>0.271836954314964</v>
      </c>
      <c r="AB39" s="106">
        <v>0</v>
      </c>
      <c r="AC39" s="106">
        <f t="shared" si="20"/>
        <v>0.000738953297312358</v>
      </c>
      <c r="AD39" s="107">
        <f t="shared" si="21"/>
        <v>0.000738953297312358</v>
      </c>
      <c r="AE39" s="105">
        <f t="shared" si="22"/>
        <v>0.0309973687119956</v>
      </c>
      <c r="AF39" s="106">
        <f t="shared" si="23"/>
        <v>0.271836954314964</v>
      </c>
      <c r="AG39" s="106">
        <f t="shared" ref="AG39:AG70" si="39">(AF39^2)*RDS_on</f>
        <v>0.00059855217082301</v>
      </c>
      <c r="AH39" s="106">
        <f t="shared" ref="AH39:AH70" si="40">(((R39+T39)*(U39+S39))/2)*Fsw*(tr_sw+tf_sw)</f>
        <v>-0.0022759360519175</v>
      </c>
      <c r="AI39" s="107">
        <f t="shared" si="24"/>
        <v>-0.00167738388109449</v>
      </c>
      <c r="AJ39" s="105">
        <f t="shared" si="25"/>
        <v>0.213333333333333</v>
      </c>
      <c r="AK39" s="106">
        <f t="shared" si="26"/>
        <v>0.400614847510075</v>
      </c>
      <c r="AL39" s="106">
        <f t="shared" si="27"/>
        <v>0.0693333333333333</v>
      </c>
      <c r="AM39" s="106">
        <f t="shared" ref="AM39:AM70" si="41">(R39+T39+Vd_rect)*Qrr*Fsw</f>
        <v>0</v>
      </c>
      <c r="AN39" s="107">
        <f t="shared" si="28"/>
        <v>0.0693333333333333</v>
      </c>
      <c r="AO39" s="105">
        <f t="shared" ref="AO39:AO70" si="42">(AF39^2)*R_cs</f>
        <v>0.000738953297312358</v>
      </c>
      <c r="AP39" s="106">
        <f t="shared" si="16"/>
        <v>0.055944</v>
      </c>
      <c r="AQ39" s="107">
        <f t="shared" si="29"/>
        <v>0.0099</v>
      </c>
      <c r="AR39" s="105">
        <f t="shared" si="30"/>
        <v>0.134238902749551</v>
      </c>
      <c r="AS39" s="106">
        <f t="shared" si="31"/>
        <v>0.789333333333333</v>
      </c>
      <c r="AT39" s="107">
        <f t="shared" si="32"/>
        <v>85.4652513896591</v>
      </c>
    </row>
    <row r="40" spans="17:46">
      <c r="Q40">
        <v>33</v>
      </c>
      <c r="R40" s="105">
        <f t="shared" si="0"/>
        <v>3.7</v>
      </c>
      <c r="S40" s="106">
        <f t="shared" si="34"/>
        <v>0.22</v>
      </c>
      <c r="T40" s="106">
        <f t="shared" si="2"/>
        <v>3</v>
      </c>
      <c r="U40" s="107">
        <f t="shared" si="35"/>
        <v>0.271333333333333</v>
      </c>
      <c r="V40" s="105">
        <f t="shared" si="36"/>
        <v>2</v>
      </c>
      <c r="W40" s="106">
        <f t="shared" si="37"/>
        <v>0.552238805970149</v>
      </c>
      <c r="X40" s="107">
        <f t="shared" si="38"/>
        <v>0.447761194029851</v>
      </c>
      <c r="Y40" s="105">
        <f t="shared" si="18"/>
        <v>0.236673773987207</v>
      </c>
      <c r="Z40" s="106">
        <f t="shared" si="33"/>
        <v>0.72800710732054</v>
      </c>
      <c r="AA40" s="106">
        <f t="shared" si="19"/>
        <v>0.279802878324884</v>
      </c>
      <c r="AB40" s="106">
        <v>0</v>
      </c>
      <c r="AC40" s="106">
        <f t="shared" si="20"/>
        <v>0.000782896507188901</v>
      </c>
      <c r="AD40" s="107">
        <f t="shared" si="21"/>
        <v>0.000782896507188901</v>
      </c>
      <c r="AE40" s="105">
        <f t="shared" si="22"/>
        <v>0.0329649751243781</v>
      </c>
      <c r="AF40" s="106">
        <f t="shared" si="23"/>
        <v>0.279802878324884</v>
      </c>
      <c r="AG40" s="106">
        <f t="shared" si="39"/>
        <v>0.00063414617082301</v>
      </c>
      <c r="AH40" s="106">
        <f t="shared" si="40"/>
        <v>-0.00234705905353992</v>
      </c>
      <c r="AI40" s="107">
        <f t="shared" si="24"/>
        <v>-0.00171291288271691</v>
      </c>
      <c r="AJ40" s="105">
        <f t="shared" si="25"/>
        <v>0.22</v>
      </c>
      <c r="AK40" s="106">
        <f t="shared" si="26"/>
        <v>0.410514230030199</v>
      </c>
      <c r="AL40" s="106">
        <f t="shared" si="27"/>
        <v>0.0715</v>
      </c>
      <c r="AM40" s="106">
        <f t="shared" si="41"/>
        <v>0</v>
      </c>
      <c r="AN40" s="107">
        <f t="shared" si="28"/>
        <v>0.0715</v>
      </c>
      <c r="AO40" s="105">
        <f t="shared" si="42"/>
        <v>0.000782896507188901</v>
      </c>
      <c r="AP40" s="106">
        <f t="shared" si="16"/>
        <v>0.055944</v>
      </c>
      <c r="AQ40" s="107">
        <f t="shared" si="29"/>
        <v>0.0099</v>
      </c>
      <c r="AR40" s="105">
        <f t="shared" si="30"/>
        <v>0.136413983624472</v>
      </c>
      <c r="AS40" s="106">
        <f t="shared" si="31"/>
        <v>0.814</v>
      </c>
      <c r="AT40" s="107">
        <f t="shared" si="32"/>
        <v>85.6468879904052</v>
      </c>
    </row>
    <row r="41" spans="17:46">
      <c r="Q41">
        <v>34</v>
      </c>
      <c r="R41" s="105">
        <f t="shared" si="0"/>
        <v>3.7</v>
      </c>
      <c r="S41" s="106">
        <f t="shared" si="34"/>
        <v>0.226666666666667</v>
      </c>
      <c r="T41" s="106">
        <f t="shared" si="2"/>
        <v>3</v>
      </c>
      <c r="U41" s="107">
        <f t="shared" si="35"/>
        <v>0.279555555555556</v>
      </c>
      <c r="V41" s="105">
        <f t="shared" si="36"/>
        <v>2</v>
      </c>
      <c r="W41" s="106">
        <f t="shared" si="37"/>
        <v>0.552238805970149</v>
      </c>
      <c r="X41" s="107">
        <f t="shared" si="38"/>
        <v>0.447761194029851</v>
      </c>
      <c r="Y41" s="105">
        <f t="shared" si="18"/>
        <v>0.236673773987207</v>
      </c>
      <c r="Z41" s="106">
        <f t="shared" si="33"/>
        <v>0.742895996209429</v>
      </c>
      <c r="AA41" s="106">
        <f t="shared" si="19"/>
        <v>0.2877832197733</v>
      </c>
      <c r="AB41" s="106">
        <v>0</v>
      </c>
      <c r="AC41" s="106">
        <f t="shared" si="20"/>
        <v>0.000828191815830876</v>
      </c>
      <c r="AD41" s="107">
        <f t="shared" si="21"/>
        <v>0.000828191815830876</v>
      </c>
      <c r="AE41" s="105">
        <f t="shared" si="22"/>
        <v>0.0349931232725263</v>
      </c>
      <c r="AF41" s="106">
        <f t="shared" si="23"/>
        <v>0.2877832197733</v>
      </c>
      <c r="AG41" s="106">
        <f t="shared" si="39"/>
        <v>0.00067083537082301</v>
      </c>
      <c r="AH41" s="106">
        <f t="shared" si="40"/>
        <v>-0.00241818205516234</v>
      </c>
      <c r="AI41" s="107">
        <f t="shared" si="24"/>
        <v>-0.00174734668433933</v>
      </c>
      <c r="AJ41" s="105">
        <f t="shared" si="25"/>
        <v>0.226666666666667</v>
      </c>
      <c r="AK41" s="106">
        <f t="shared" si="26"/>
        <v>0.420416613120334</v>
      </c>
      <c r="AL41" s="106">
        <f t="shared" si="27"/>
        <v>0.0736666666666667</v>
      </c>
      <c r="AM41" s="106">
        <f t="shared" si="41"/>
        <v>0</v>
      </c>
      <c r="AN41" s="107">
        <f t="shared" si="28"/>
        <v>0.0736666666666667</v>
      </c>
      <c r="AO41" s="105">
        <f t="shared" si="42"/>
        <v>0.000828191815830876</v>
      </c>
      <c r="AP41" s="106">
        <f t="shared" si="16"/>
        <v>0.055944</v>
      </c>
      <c r="AQ41" s="107">
        <f t="shared" si="29"/>
        <v>0.0099</v>
      </c>
      <c r="AR41" s="105">
        <f t="shared" si="30"/>
        <v>0.138591511798158</v>
      </c>
      <c r="AS41" s="106">
        <f t="shared" si="31"/>
        <v>0.838666666666667</v>
      </c>
      <c r="AT41" s="107">
        <f t="shared" si="32"/>
        <v>85.81833185414</v>
      </c>
    </row>
    <row r="42" spans="17:46">
      <c r="Q42">
        <v>35</v>
      </c>
      <c r="R42" s="105">
        <f t="shared" si="0"/>
        <v>3.7</v>
      </c>
      <c r="S42" s="106">
        <f t="shared" si="34"/>
        <v>0.233333333333333</v>
      </c>
      <c r="T42" s="106">
        <f t="shared" si="2"/>
        <v>3</v>
      </c>
      <c r="U42" s="107">
        <f t="shared" si="35"/>
        <v>0.287777777777778</v>
      </c>
      <c r="V42" s="105">
        <f t="shared" si="36"/>
        <v>2</v>
      </c>
      <c r="W42" s="106">
        <f t="shared" si="37"/>
        <v>0.552238805970149</v>
      </c>
      <c r="X42" s="107">
        <f t="shared" si="38"/>
        <v>0.447761194029851</v>
      </c>
      <c r="Y42" s="105">
        <f t="shared" si="18"/>
        <v>0.236673773987207</v>
      </c>
      <c r="Z42" s="106">
        <f t="shared" si="33"/>
        <v>0.757784885098318</v>
      </c>
      <c r="AA42" s="106">
        <f t="shared" si="19"/>
        <v>0.295776811673647</v>
      </c>
      <c r="AB42" s="106">
        <v>0</v>
      </c>
      <c r="AC42" s="106">
        <f t="shared" si="20"/>
        <v>0.000874839223238283</v>
      </c>
      <c r="AD42" s="107">
        <f t="shared" si="21"/>
        <v>0.000874839223238283</v>
      </c>
      <c r="AE42" s="105">
        <f t="shared" si="22"/>
        <v>0.03708181315644</v>
      </c>
      <c r="AF42" s="106">
        <f t="shared" si="23"/>
        <v>0.295776811673647</v>
      </c>
      <c r="AG42" s="106">
        <f t="shared" si="39"/>
        <v>0.00070861977082301</v>
      </c>
      <c r="AH42" s="106">
        <f t="shared" si="40"/>
        <v>-0.00248930505678477</v>
      </c>
      <c r="AI42" s="107">
        <f t="shared" si="24"/>
        <v>-0.00178068528596176</v>
      </c>
      <c r="AJ42" s="105">
        <f t="shared" si="25"/>
        <v>0.233333333333333</v>
      </c>
      <c r="AK42" s="106">
        <f t="shared" si="26"/>
        <v>0.430321789636983</v>
      </c>
      <c r="AL42" s="106">
        <f t="shared" si="27"/>
        <v>0.0758333333333333</v>
      </c>
      <c r="AM42" s="106">
        <f t="shared" si="41"/>
        <v>0</v>
      </c>
      <c r="AN42" s="107">
        <f t="shared" si="28"/>
        <v>0.0758333333333333</v>
      </c>
      <c r="AO42" s="105">
        <f t="shared" si="42"/>
        <v>0.000874839223238283</v>
      </c>
      <c r="AP42" s="106">
        <f t="shared" si="16"/>
        <v>0.055944</v>
      </c>
      <c r="AQ42" s="107">
        <f t="shared" si="29"/>
        <v>0.0099</v>
      </c>
      <c r="AR42" s="105">
        <f t="shared" si="30"/>
        <v>0.14077148727061</v>
      </c>
      <c r="AS42" s="106">
        <f t="shared" si="31"/>
        <v>0.863333333333333</v>
      </c>
      <c r="AT42" s="107">
        <f t="shared" si="32"/>
        <v>85.9803992190836</v>
      </c>
    </row>
    <row r="43" spans="17:46">
      <c r="Q43">
        <v>36</v>
      </c>
      <c r="R43" s="105">
        <f t="shared" si="0"/>
        <v>3.7</v>
      </c>
      <c r="S43" s="106">
        <f t="shared" si="34"/>
        <v>0.24</v>
      </c>
      <c r="T43" s="106">
        <f t="shared" si="2"/>
        <v>3</v>
      </c>
      <c r="U43" s="107">
        <f t="shared" si="35"/>
        <v>0.296</v>
      </c>
      <c r="V43" s="105">
        <f t="shared" si="36"/>
        <v>2</v>
      </c>
      <c r="W43" s="106">
        <f t="shared" si="37"/>
        <v>0.552238805970149</v>
      </c>
      <c r="X43" s="107">
        <f t="shared" si="38"/>
        <v>0.447761194029851</v>
      </c>
      <c r="Y43" s="105">
        <f t="shared" si="18"/>
        <v>0.236673773987207</v>
      </c>
      <c r="Z43" s="106">
        <f t="shared" si="33"/>
        <v>0.772673773987207</v>
      </c>
      <c r="AA43" s="106">
        <f t="shared" si="19"/>
        <v>0.303782608029348</v>
      </c>
      <c r="AB43" s="106">
        <v>0</v>
      </c>
      <c r="AC43" s="106">
        <f t="shared" si="20"/>
        <v>0.000922838729411123</v>
      </c>
      <c r="AD43" s="107">
        <f t="shared" si="21"/>
        <v>0.000922838729411123</v>
      </c>
      <c r="AE43" s="105">
        <f t="shared" si="22"/>
        <v>0.0392310447761194</v>
      </c>
      <c r="AF43" s="106">
        <f t="shared" si="23"/>
        <v>0.303782608029348</v>
      </c>
      <c r="AG43" s="106">
        <f t="shared" si="39"/>
        <v>0.00074749937082301</v>
      </c>
      <c r="AH43" s="106">
        <f t="shared" si="40"/>
        <v>-0.00256042805840719</v>
      </c>
      <c r="AI43" s="107">
        <f t="shared" si="24"/>
        <v>-0.00181292868758418</v>
      </c>
      <c r="AJ43" s="105">
        <f t="shared" si="25"/>
        <v>0.24</v>
      </c>
      <c r="AK43" s="106">
        <f t="shared" si="26"/>
        <v>0.440229571023685</v>
      </c>
      <c r="AL43" s="106">
        <f t="shared" si="27"/>
        <v>0.078</v>
      </c>
      <c r="AM43" s="106">
        <f t="shared" si="41"/>
        <v>0</v>
      </c>
      <c r="AN43" s="107">
        <f t="shared" si="28"/>
        <v>0.078</v>
      </c>
      <c r="AO43" s="105">
        <f t="shared" si="42"/>
        <v>0.000922838729411123</v>
      </c>
      <c r="AP43" s="106">
        <f t="shared" si="16"/>
        <v>0.055944</v>
      </c>
      <c r="AQ43" s="107">
        <f t="shared" si="29"/>
        <v>0.0099</v>
      </c>
      <c r="AR43" s="105">
        <f t="shared" si="30"/>
        <v>0.142953910041827</v>
      </c>
      <c r="AS43" s="106">
        <f t="shared" si="31"/>
        <v>0.888</v>
      </c>
      <c r="AT43" s="107">
        <f t="shared" si="32"/>
        <v>86.1338214395998</v>
      </c>
    </row>
    <row r="44" spans="17:46">
      <c r="Q44">
        <v>37</v>
      </c>
      <c r="R44" s="105">
        <f t="shared" si="0"/>
        <v>3.7</v>
      </c>
      <c r="S44" s="106">
        <f t="shared" si="34"/>
        <v>0.246666666666667</v>
      </c>
      <c r="T44" s="106">
        <f t="shared" si="2"/>
        <v>3</v>
      </c>
      <c r="U44" s="107">
        <f t="shared" si="35"/>
        <v>0.304222222222222</v>
      </c>
      <c r="V44" s="105">
        <f t="shared" si="36"/>
        <v>2</v>
      </c>
      <c r="W44" s="106">
        <f t="shared" si="37"/>
        <v>0.552238805970149</v>
      </c>
      <c r="X44" s="107">
        <f t="shared" si="38"/>
        <v>0.447761194029851</v>
      </c>
      <c r="Y44" s="105">
        <f t="shared" si="18"/>
        <v>0.236673773987207</v>
      </c>
      <c r="Z44" s="106">
        <f t="shared" si="33"/>
        <v>0.787562662876096</v>
      </c>
      <c r="AA44" s="106">
        <f t="shared" si="19"/>
        <v>0.311799668753736</v>
      </c>
      <c r="AB44" s="106">
        <v>0</v>
      </c>
      <c r="AC44" s="106">
        <f t="shared" si="20"/>
        <v>0.000972190334349395</v>
      </c>
      <c r="AD44" s="107">
        <f t="shared" si="21"/>
        <v>0.000972190334349395</v>
      </c>
      <c r="AE44" s="105">
        <f t="shared" si="22"/>
        <v>0.0414408181315644</v>
      </c>
      <c r="AF44" s="106">
        <f t="shared" si="23"/>
        <v>0.311799668753736</v>
      </c>
      <c r="AG44" s="106">
        <f t="shared" si="39"/>
        <v>0.00078747417082301</v>
      </c>
      <c r="AH44" s="106">
        <f t="shared" si="40"/>
        <v>-0.00263155106002961</v>
      </c>
      <c r="AI44" s="107">
        <f t="shared" si="24"/>
        <v>-0.0018440768892066</v>
      </c>
      <c r="AJ44" s="105">
        <f t="shared" si="25"/>
        <v>0.246666666666667</v>
      </c>
      <c r="AK44" s="106">
        <f t="shared" si="26"/>
        <v>0.45013978527735</v>
      </c>
      <c r="AL44" s="106">
        <f t="shared" si="27"/>
        <v>0.0801666666666667</v>
      </c>
      <c r="AM44" s="106">
        <f t="shared" si="41"/>
        <v>0</v>
      </c>
      <c r="AN44" s="107">
        <f t="shared" si="28"/>
        <v>0.0801666666666667</v>
      </c>
      <c r="AO44" s="105">
        <f t="shared" si="42"/>
        <v>0.000972190334349395</v>
      </c>
      <c r="AP44" s="106">
        <f t="shared" si="16"/>
        <v>0.055944</v>
      </c>
      <c r="AQ44" s="107">
        <f t="shared" si="29"/>
        <v>0.0099</v>
      </c>
      <c r="AR44" s="105">
        <f t="shared" si="30"/>
        <v>0.145138780111809</v>
      </c>
      <c r="AS44" s="106">
        <f t="shared" si="31"/>
        <v>0.912666666666667</v>
      </c>
      <c r="AT44" s="107">
        <f t="shared" si="32"/>
        <v>86.2792557408523</v>
      </c>
    </row>
    <row r="45" spans="17:46">
      <c r="Q45">
        <v>38</v>
      </c>
      <c r="R45" s="105">
        <f t="shared" si="0"/>
        <v>3.7</v>
      </c>
      <c r="S45" s="106">
        <f t="shared" si="34"/>
        <v>0.253333333333333</v>
      </c>
      <c r="T45" s="106">
        <f t="shared" si="2"/>
        <v>3</v>
      </c>
      <c r="U45" s="107">
        <f t="shared" si="35"/>
        <v>0.312444444444444</v>
      </c>
      <c r="V45" s="105">
        <f t="shared" si="36"/>
        <v>2</v>
      </c>
      <c r="W45" s="106">
        <f t="shared" si="37"/>
        <v>0.552238805970149</v>
      </c>
      <c r="X45" s="107">
        <f t="shared" si="38"/>
        <v>0.447761194029851</v>
      </c>
      <c r="Y45" s="105">
        <f t="shared" si="18"/>
        <v>0.236673773987207</v>
      </c>
      <c r="Z45" s="106">
        <f t="shared" si="33"/>
        <v>0.802451551764985</v>
      </c>
      <c r="AA45" s="106">
        <f t="shared" si="19"/>
        <v>0.319827146761043</v>
      </c>
      <c r="AB45" s="106">
        <v>0</v>
      </c>
      <c r="AC45" s="106">
        <f t="shared" si="20"/>
        <v>0.0010228940380531</v>
      </c>
      <c r="AD45" s="107">
        <f t="shared" si="21"/>
        <v>0.0010228940380531</v>
      </c>
      <c r="AE45" s="105">
        <f t="shared" si="22"/>
        <v>0.043711133222775</v>
      </c>
      <c r="AF45" s="106">
        <f t="shared" si="23"/>
        <v>0.319827146761043</v>
      </c>
      <c r="AG45" s="106">
        <f t="shared" si="39"/>
        <v>0.000828544170823009</v>
      </c>
      <c r="AH45" s="106">
        <f t="shared" si="40"/>
        <v>-0.00270267406165203</v>
      </c>
      <c r="AI45" s="107">
        <f t="shared" si="24"/>
        <v>-0.00187412989082902</v>
      </c>
      <c r="AJ45" s="105">
        <f t="shared" si="25"/>
        <v>0.253333333333333</v>
      </c>
      <c r="AK45" s="106">
        <f t="shared" si="26"/>
        <v>0.460052275175222</v>
      </c>
      <c r="AL45" s="106">
        <f t="shared" si="27"/>
        <v>0.0823333333333333</v>
      </c>
      <c r="AM45" s="106">
        <f t="shared" si="41"/>
        <v>0</v>
      </c>
      <c r="AN45" s="107">
        <f t="shared" si="28"/>
        <v>0.0823333333333333</v>
      </c>
      <c r="AO45" s="105">
        <f t="shared" si="42"/>
        <v>0.0010228940380531</v>
      </c>
      <c r="AP45" s="106">
        <f t="shared" si="16"/>
        <v>0.055944</v>
      </c>
      <c r="AQ45" s="107">
        <f t="shared" si="29"/>
        <v>0.0099</v>
      </c>
      <c r="AR45" s="105">
        <f t="shared" si="30"/>
        <v>0.147326097480557</v>
      </c>
      <c r="AS45" s="106">
        <f t="shared" si="31"/>
        <v>0.937333333333333</v>
      </c>
      <c r="AT45" s="107">
        <f t="shared" si="32"/>
        <v>86.4172943787518</v>
      </c>
    </row>
    <row r="46" spans="17:46">
      <c r="Q46">
        <v>39</v>
      </c>
      <c r="R46" s="105">
        <f t="shared" si="0"/>
        <v>3.7</v>
      </c>
      <c r="S46" s="106">
        <f t="shared" si="34"/>
        <v>0.26</v>
      </c>
      <c r="T46" s="106">
        <f t="shared" si="2"/>
        <v>3</v>
      </c>
      <c r="U46" s="107">
        <f t="shared" si="35"/>
        <v>0.320666666666667</v>
      </c>
      <c r="V46" s="105">
        <f t="shared" si="36"/>
        <v>2</v>
      </c>
      <c r="W46" s="106">
        <f t="shared" si="37"/>
        <v>0.552238805970149</v>
      </c>
      <c r="X46" s="107">
        <f t="shared" si="38"/>
        <v>0.447761194029851</v>
      </c>
      <c r="Y46" s="105">
        <f t="shared" si="18"/>
        <v>0.236673773987207</v>
      </c>
      <c r="Z46" s="106">
        <f t="shared" si="33"/>
        <v>0.817340440653874</v>
      </c>
      <c r="AA46" s="106">
        <f t="shared" si="19"/>
        <v>0.327864276877222</v>
      </c>
      <c r="AB46" s="106">
        <v>0</v>
      </c>
      <c r="AC46" s="106">
        <f t="shared" si="20"/>
        <v>0.00107494984052223</v>
      </c>
      <c r="AD46" s="107">
        <f t="shared" si="21"/>
        <v>0.00107494984052223</v>
      </c>
      <c r="AE46" s="105">
        <f t="shared" si="22"/>
        <v>0.0460419900497512</v>
      </c>
      <c r="AF46" s="106">
        <f t="shared" si="23"/>
        <v>0.327864276877222</v>
      </c>
      <c r="AG46" s="106">
        <f t="shared" si="39"/>
        <v>0.00087070937082301</v>
      </c>
      <c r="AH46" s="106">
        <f t="shared" si="40"/>
        <v>-0.00277379706327445</v>
      </c>
      <c r="AI46" s="107">
        <f t="shared" si="24"/>
        <v>-0.00190308769245144</v>
      </c>
      <c r="AJ46" s="105">
        <f t="shared" si="25"/>
        <v>0.26</v>
      </c>
      <c r="AK46" s="106">
        <f t="shared" si="26"/>
        <v>0.469966896724413</v>
      </c>
      <c r="AL46" s="106">
        <f t="shared" si="27"/>
        <v>0.0845</v>
      </c>
      <c r="AM46" s="106">
        <f t="shared" si="41"/>
        <v>0</v>
      </c>
      <c r="AN46" s="107">
        <f t="shared" si="28"/>
        <v>0.0845</v>
      </c>
      <c r="AO46" s="105">
        <f t="shared" si="42"/>
        <v>0.00107494984052223</v>
      </c>
      <c r="AP46" s="106">
        <f t="shared" si="16"/>
        <v>0.055944</v>
      </c>
      <c r="AQ46" s="107">
        <f t="shared" si="29"/>
        <v>0.0099</v>
      </c>
      <c r="AR46" s="105">
        <f t="shared" si="30"/>
        <v>0.149515862148071</v>
      </c>
      <c r="AS46" s="106">
        <f t="shared" si="31"/>
        <v>0.962</v>
      </c>
      <c r="AT46" s="107">
        <f t="shared" si="32"/>
        <v>86.5484724744168</v>
      </c>
    </row>
    <row r="47" spans="17:46">
      <c r="Q47">
        <v>40</v>
      </c>
      <c r="R47" s="105">
        <f t="shared" si="0"/>
        <v>3.7</v>
      </c>
      <c r="S47" s="106">
        <f t="shared" si="34"/>
        <v>0.266666666666667</v>
      </c>
      <c r="T47" s="106">
        <f t="shared" si="2"/>
        <v>3</v>
      </c>
      <c r="U47" s="107">
        <f t="shared" si="35"/>
        <v>0.328888888888889</v>
      </c>
      <c r="V47" s="105">
        <f t="shared" si="36"/>
        <v>2</v>
      </c>
      <c r="W47" s="106">
        <f t="shared" si="37"/>
        <v>0.552238805970149</v>
      </c>
      <c r="X47" s="107">
        <f t="shared" si="38"/>
        <v>0.447761194029851</v>
      </c>
      <c r="Y47" s="105">
        <f t="shared" si="18"/>
        <v>0.236673773987207</v>
      </c>
      <c r="Z47" s="106">
        <f t="shared" si="33"/>
        <v>0.832229329542763</v>
      </c>
      <c r="AA47" s="106">
        <f t="shared" si="19"/>
        <v>0.335910366281959</v>
      </c>
      <c r="AB47" s="106">
        <v>0</v>
      </c>
      <c r="AC47" s="106">
        <f t="shared" si="20"/>
        <v>0.0011283577417568</v>
      </c>
      <c r="AD47" s="107">
        <f t="shared" si="21"/>
        <v>0.0011283577417568</v>
      </c>
      <c r="AE47" s="105">
        <f t="shared" si="22"/>
        <v>0.0484333886124931</v>
      </c>
      <c r="AF47" s="106">
        <f t="shared" si="23"/>
        <v>0.335910366281959</v>
      </c>
      <c r="AG47" s="106">
        <f t="shared" si="39"/>
        <v>0.000913969770823009</v>
      </c>
      <c r="AH47" s="106">
        <f t="shared" si="40"/>
        <v>-0.00284492006489688</v>
      </c>
      <c r="AI47" s="107">
        <f t="shared" si="24"/>
        <v>-0.00193095029407387</v>
      </c>
      <c r="AJ47" s="105">
        <f t="shared" si="25"/>
        <v>0.266666666666667</v>
      </c>
      <c r="AK47" s="106">
        <f t="shared" si="26"/>
        <v>0.479883517802155</v>
      </c>
      <c r="AL47" s="106">
        <f t="shared" si="27"/>
        <v>0.0866666666666667</v>
      </c>
      <c r="AM47" s="106">
        <f t="shared" si="41"/>
        <v>0</v>
      </c>
      <c r="AN47" s="107">
        <f t="shared" si="28"/>
        <v>0.0866666666666667</v>
      </c>
      <c r="AO47" s="105">
        <f t="shared" si="42"/>
        <v>0.0011283577417568</v>
      </c>
      <c r="AP47" s="106">
        <f t="shared" si="16"/>
        <v>0.055944</v>
      </c>
      <c r="AQ47" s="107">
        <f t="shared" si="29"/>
        <v>0.0099</v>
      </c>
      <c r="AR47" s="105">
        <f t="shared" si="30"/>
        <v>0.15170807411435</v>
      </c>
      <c r="AS47" s="106">
        <f t="shared" si="31"/>
        <v>0.986666666666667</v>
      </c>
      <c r="AT47" s="107">
        <f t="shared" si="32"/>
        <v>86.6732747416492</v>
      </c>
    </row>
    <row r="48" spans="17:46">
      <c r="Q48">
        <v>41</v>
      </c>
      <c r="R48" s="105">
        <f t="shared" si="0"/>
        <v>3.7</v>
      </c>
      <c r="S48" s="106">
        <f t="shared" si="34"/>
        <v>0.273333333333333</v>
      </c>
      <c r="T48" s="106">
        <f t="shared" si="2"/>
        <v>3</v>
      </c>
      <c r="U48" s="107">
        <f t="shared" si="35"/>
        <v>0.337111111111111</v>
      </c>
      <c r="V48" s="105">
        <f t="shared" si="36"/>
        <v>2</v>
      </c>
      <c r="W48" s="106">
        <f t="shared" si="37"/>
        <v>0.552238805970149</v>
      </c>
      <c r="X48" s="107">
        <f t="shared" si="38"/>
        <v>0.447761194029851</v>
      </c>
      <c r="Y48" s="105">
        <f t="shared" si="18"/>
        <v>0.236673773987207</v>
      </c>
      <c r="Z48" s="106">
        <f t="shared" si="33"/>
        <v>0.847118218431651</v>
      </c>
      <c r="AA48" s="106">
        <f t="shared" si="19"/>
        <v>0.343964786243709</v>
      </c>
      <c r="AB48" s="106">
        <v>0</v>
      </c>
      <c r="AC48" s="106">
        <f t="shared" si="20"/>
        <v>0.0011831177417568</v>
      </c>
      <c r="AD48" s="107">
        <f t="shared" si="21"/>
        <v>0.0011831177417568</v>
      </c>
      <c r="AE48" s="105">
        <f t="shared" si="22"/>
        <v>0.0508853289110006</v>
      </c>
      <c r="AF48" s="106">
        <f t="shared" si="23"/>
        <v>0.343964786243709</v>
      </c>
      <c r="AG48" s="106">
        <f t="shared" si="39"/>
        <v>0.00095832537082301</v>
      </c>
      <c r="AH48" s="106">
        <f t="shared" si="40"/>
        <v>-0.0029160430665193</v>
      </c>
      <c r="AI48" s="107">
        <f t="shared" si="24"/>
        <v>-0.00195771769569629</v>
      </c>
      <c r="AJ48" s="105">
        <f t="shared" si="25"/>
        <v>0.273333333333333</v>
      </c>
      <c r="AK48" s="106">
        <f t="shared" si="26"/>
        <v>0.489802016960002</v>
      </c>
      <c r="AL48" s="106">
        <f t="shared" si="27"/>
        <v>0.0888333333333333</v>
      </c>
      <c r="AM48" s="106">
        <f t="shared" si="41"/>
        <v>0</v>
      </c>
      <c r="AN48" s="107">
        <f t="shared" si="28"/>
        <v>0.0888333333333333</v>
      </c>
      <c r="AO48" s="105">
        <f t="shared" si="42"/>
        <v>0.0011831177417568</v>
      </c>
      <c r="AP48" s="106">
        <f t="shared" si="16"/>
        <v>0.055944</v>
      </c>
      <c r="AQ48" s="107">
        <f t="shared" si="29"/>
        <v>0.0099</v>
      </c>
      <c r="AR48" s="105">
        <f t="shared" si="30"/>
        <v>0.153902733379394</v>
      </c>
      <c r="AS48" s="106">
        <f t="shared" si="31"/>
        <v>1.01133333333333</v>
      </c>
      <c r="AT48" s="107">
        <f t="shared" si="32"/>
        <v>86.7921412857077</v>
      </c>
    </row>
    <row r="49" spans="17:46">
      <c r="Q49">
        <v>42</v>
      </c>
      <c r="R49" s="105">
        <f t="shared" si="0"/>
        <v>3.7</v>
      </c>
      <c r="S49" s="106">
        <f t="shared" si="34"/>
        <v>0.28</v>
      </c>
      <c r="T49" s="106">
        <f t="shared" si="2"/>
        <v>3</v>
      </c>
      <c r="U49" s="107">
        <f t="shared" si="35"/>
        <v>0.345333333333333</v>
      </c>
      <c r="V49" s="105">
        <f t="shared" si="36"/>
        <v>2</v>
      </c>
      <c r="W49" s="106">
        <f t="shared" si="37"/>
        <v>0.552238805970149</v>
      </c>
      <c r="X49" s="107">
        <f t="shared" si="38"/>
        <v>0.447761194029851</v>
      </c>
      <c r="Y49" s="105">
        <f t="shared" si="18"/>
        <v>0.236673773987207</v>
      </c>
      <c r="Z49" s="106">
        <f t="shared" si="33"/>
        <v>0.86200710732054</v>
      </c>
      <c r="AA49" s="106">
        <f t="shared" si="19"/>
        <v>0.352026964950447</v>
      </c>
      <c r="AB49" s="106">
        <v>0</v>
      </c>
      <c r="AC49" s="106">
        <f t="shared" si="20"/>
        <v>0.00123922984052223</v>
      </c>
      <c r="AD49" s="107">
        <f t="shared" si="21"/>
        <v>0.00123922984052223</v>
      </c>
      <c r="AE49" s="105">
        <f t="shared" si="22"/>
        <v>0.0533978109452737</v>
      </c>
      <c r="AF49" s="106">
        <f t="shared" si="23"/>
        <v>0.352026964950447</v>
      </c>
      <c r="AG49" s="106">
        <f t="shared" si="39"/>
        <v>0.00100377617082301</v>
      </c>
      <c r="AH49" s="106">
        <f t="shared" si="40"/>
        <v>-0.00298716606814172</v>
      </c>
      <c r="AI49" s="107">
        <f t="shared" si="24"/>
        <v>-0.00198338989731871</v>
      </c>
      <c r="AJ49" s="105">
        <f t="shared" si="25"/>
        <v>0.28</v>
      </c>
      <c r="AK49" s="106">
        <f t="shared" si="26"/>
        <v>0.499722282369437</v>
      </c>
      <c r="AL49" s="106">
        <f t="shared" si="27"/>
        <v>0.091</v>
      </c>
      <c r="AM49" s="106">
        <f t="shared" si="41"/>
        <v>0</v>
      </c>
      <c r="AN49" s="107">
        <f t="shared" si="28"/>
        <v>0.091</v>
      </c>
      <c r="AO49" s="105">
        <f t="shared" si="42"/>
        <v>0.00123922984052223</v>
      </c>
      <c r="AP49" s="106">
        <f t="shared" si="16"/>
        <v>0.055944</v>
      </c>
      <c r="AQ49" s="107">
        <f t="shared" si="29"/>
        <v>0.0099</v>
      </c>
      <c r="AR49" s="105">
        <f t="shared" si="30"/>
        <v>0.156099839943204</v>
      </c>
      <c r="AS49" s="106">
        <f t="shared" si="31"/>
        <v>1.036</v>
      </c>
      <c r="AT49" s="107">
        <f t="shared" si="32"/>
        <v>86.9054726195886</v>
      </c>
    </row>
    <row r="50" spans="17:46">
      <c r="Q50">
        <v>43</v>
      </c>
      <c r="R50" s="105">
        <f t="shared" si="0"/>
        <v>3.7</v>
      </c>
      <c r="S50" s="106">
        <f t="shared" si="34"/>
        <v>0.286666666666667</v>
      </c>
      <c r="T50" s="106">
        <f t="shared" si="2"/>
        <v>3</v>
      </c>
      <c r="U50" s="107">
        <f t="shared" si="35"/>
        <v>0.353555555555556</v>
      </c>
      <c r="V50" s="105">
        <f t="shared" si="36"/>
        <v>2</v>
      </c>
      <c r="W50" s="106">
        <f t="shared" si="37"/>
        <v>0.552238805970149</v>
      </c>
      <c r="X50" s="107">
        <f t="shared" si="38"/>
        <v>0.447761194029851</v>
      </c>
      <c r="Y50" s="105">
        <f t="shared" si="18"/>
        <v>0.236673773987207</v>
      </c>
      <c r="Z50" s="106">
        <f t="shared" si="33"/>
        <v>0.876895996209429</v>
      </c>
      <c r="AA50" s="106">
        <f t="shared" si="19"/>
        <v>0.360096381272167</v>
      </c>
      <c r="AB50" s="106">
        <v>0</v>
      </c>
      <c r="AC50" s="106">
        <f t="shared" si="20"/>
        <v>0.0012966940380531</v>
      </c>
      <c r="AD50" s="107">
        <f t="shared" si="21"/>
        <v>0.0012966940380531</v>
      </c>
      <c r="AE50" s="105">
        <f t="shared" si="22"/>
        <v>0.0559708347153123</v>
      </c>
      <c r="AF50" s="106">
        <f t="shared" si="23"/>
        <v>0.360096381272167</v>
      </c>
      <c r="AG50" s="106">
        <f t="shared" si="39"/>
        <v>0.00105032217082301</v>
      </c>
      <c r="AH50" s="106">
        <f t="shared" si="40"/>
        <v>-0.00305828906976414</v>
      </c>
      <c r="AI50" s="107">
        <f t="shared" si="24"/>
        <v>-0.00200796689894113</v>
      </c>
      <c r="AJ50" s="105">
        <f t="shared" si="25"/>
        <v>0.286666666666667</v>
      </c>
      <c r="AK50" s="106">
        <f t="shared" si="26"/>
        <v>0.509644210889785</v>
      </c>
      <c r="AL50" s="106">
        <f t="shared" si="27"/>
        <v>0.0931666666666667</v>
      </c>
      <c r="AM50" s="106">
        <f t="shared" si="41"/>
        <v>0</v>
      </c>
      <c r="AN50" s="107">
        <f t="shared" si="28"/>
        <v>0.0931666666666667</v>
      </c>
      <c r="AO50" s="105">
        <f t="shared" si="42"/>
        <v>0.0012966940380531</v>
      </c>
      <c r="AP50" s="106">
        <f t="shared" si="16"/>
        <v>0.055944</v>
      </c>
      <c r="AQ50" s="107">
        <f t="shared" si="29"/>
        <v>0.0099</v>
      </c>
      <c r="AR50" s="105">
        <f t="shared" si="30"/>
        <v>0.158299393805779</v>
      </c>
      <c r="AS50" s="106">
        <f t="shared" si="31"/>
        <v>1.06066666666667</v>
      </c>
      <c r="AT50" s="107">
        <f t="shared" si="32"/>
        <v>87.0136340182904</v>
      </c>
    </row>
    <row r="51" spans="17:46">
      <c r="Q51">
        <v>44</v>
      </c>
      <c r="R51" s="105">
        <f t="shared" si="0"/>
        <v>3.7</v>
      </c>
      <c r="S51" s="106">
        <f t="shared" si="34"/>
        <v>0.293333333333333</v>
      </c>
      <c r="T51" s="106">
        <f t="shared" si="2"/>
        <v>3</v>
      </c>
      <c r="U51" s="107">
        <f t="shared" si="35"/>
        <v>0.361777777777778</v>
      </c>
      <c r="V51" s="105">
        <f t="shared" si="36"/>
        <v>2</v>
      </c>
      <c r="W51" s="106">
        <f t="shared" si="37"/>
        <v>0.552238805970149</v>
      </c>
      <c r="X51" s="107">
        <f t="shared" si="38"/>
        <v>0.447761194029851</v>
      </c>
      <c r="Y51" s="105">
        <f t="shared" si="18"/>
        <v>0.236673773987207</v>
      </c>
      <c r="Z51" s="106">
        <f t="shared" si="33"/>
        <v>0.891784885098318</v>
      </c>
      <c r="AA51" s="106">
        <f t="shared" si="19"/>
        <v>0.368172559318235</v>
      </c>
      <c r="AB51" s="106">
        <v>0</v>
      </c>
      <c r="AC51" s="106">
        <f t="shared" si="20"/>
        <v>0.00135551033434939</v>
      </c>
      <c r="AD51" s="107">
        <f t="shared" si="21"/>
        <v>0.00135551033434939</v>
      </c>
      <c r="AE51" s="105">
        <f t="shared" si="22"/>
        <v>0.0586044002211167</v>
      </c>
      <c r="AF51" s="106">
        <f t="shared" si="23"/>
        <v>0.368172559318235</v>
      </c>
      <c r="AG51" s="106">
        <f t="shared" si="39"/>
        <v>0.00109796337082301</v>
      </c>
      <c r="AH51" s="106">
        <f t="shared" si="40"/>
        <v>-0.00312941207138656</v>
      </c>
      <c r="AI51" s="107">
        <f t="shared" si="24"/>
        <v>-0.00203144870056355</v>
      </c>
      <c r="AJ51" s="105">
        <f t="shared" si="25"/>
        <v>0.293333333333333</v>
      </c>
      <c r="AK51" s="106">
        <f t="shared" si="26"/>
        <v>0.519567707242224</v>
      </c>
      <c r="AL51" s="106">
        <f t="shared" si="27"/>
        <v>0.0953333333333333</v>
      </c>
      <c r="AM51" s="106">
        <f t="shared" si="41"/>
        <v>0</v>
      </c>
      <c r="AN51" s="107">
        <f t="shared" si="28"/>
        <v>0.0953333333333333</v>
      </c>
      <c r="AO51" s="105">
        <f t="shared" si="42"/>
        <v>0.00135551033434939</v>
      </c>
      <c r="AP51" s="106">
        <f t="shared" si="16"/>
        <v>0.055944</v>
      </c>
      <c r="AQ51" s="107">
        <f t="shared" si="29"/>
        <v>0.0099</v>
      </c>
      <c r="AR51" s="105">
        <f t="shared" si="30"/>
        <v>0.160501394967119</v>
      </c>
      <c r="AS51" s="106">
        <f t="shared" si="31"/>
        <v>1.08533333333333</v>
      </c>
      <c r="AT51" s="107">
        <f t="shared" si="32"/>
        <v>87.116959310801</v>
      </c>
    </row>
    <row r="52" spans="17:46">
      <c r="Q52">
        <v>45</v>
      </c>
      <c r="R52" s="105">
        <f t="shared" si="0"/>
        <v>3.7</v>
      </c>
      <c r="S52" s="106">
        <f t="shared" si="34"/>
        <v>0.3</v>
      </c>
      <c r="T52" s="106">
        <f t="shared" si="2"/>
        <v>3</v>
      </c>
      <c r="U52" s="107">
        <f t="shared" si="35"/>
        <v>0.37</v>
      </c>
      <c r="V52" s="105">
        <f t="shared" si="36"/>
        <v>2</v>
      </c>
      <c r="W52" s="106">
        <f t="shared" si="37"/>
        <v>0.552238805970149</v>
      </c>
      <c r="X52" s="107">
        <f t="shared" si="38"/>
        <v>0.447761194029851</v>
      </c>
      <c r="Y52" s="105">
        <f t="shared" si="18"/>
        <v>0.236673773987207</v>
      </c>
      <c r="Z52" s="106">
        <f t="shared" si="33"/>
        <v>0.906673773987207</v>
      </c>
      <c r="AA52" s="106">
        <f t="shared" si="19"/>
        <v>0.376255063675045</v>
      </c>
      <c r="AB52" s="106">
        <v>0</v>
      </c>
      <c r="AC52" s="106">
        <f t="shared" si="20"/>
        <v>0.00141567872941112</v>
      </c>
      <c r="AD52" s="107">
        <f t="shared" si="21"/>
        <v>0.00141567872941112</v>
      </c>
      <c r="AE52" s="105">
        <f t="shared" si="22"/>
        <v>0.0612985074626866</v>
      </c>
      <c r="AF52" s="106">
        <f t="shared" si="23"/>
        <v>0.376255063675045</v>
      </c>
      <c r="AG52" s="106">
        <f t="shared" si="39"/>
        <v>0.00114669977082301</v>
      </c>
      <c r="AH52" s="106">
        <f t="shared" si="40"/>
        <v>-0.00320053507300898</v>
      </c>
      <c r="AI52" s="107">
        <f t="shared" si="24"/>
        <v>-0.00205383530218597</v>
      </c>
      <c r="AJ52" s="105">
        <f t="shared" si="25"/>
        <v>0.3</v>
      </c>
      <c r="AK52" s="106">
        <f t="shared" si="26"/>
        <v>0.529492683276106</v>
      </c>
      <c r="AL52" s="106">
        <f t="shared" si="27"/>
        <v>0.0975</v>
      </c>
      <c r="AM52" s="106">
        <f t="shared" si="41"/>
        <v>0</v>
      </c>
      <c r="AN52" s="107">
        <f t="shared" si="28"/>
        <v>0.0975</v>
      </c>
      <c r="AO52" s="105">
        <f t="shared" si="42"/>
        <v>0.00141567872941112</v>
      </c>
      <c r="AP52" s="106">
        <f t="shared" si="16"/>
        <v>0.055944</v>
      </c>
      <c r="AQ52" s="107">
        <f t="shared" si="29"/>
        <v>0.0099</v>
      </c>
      <c r="AR52" s="105">
        <f t="shared" si="30"/>
        <v>0.162705843427225</v>
      </c>
      <c r="AS52" s="106">
        <f t="shared" si="31"/>
        <v>1.11</v>
      </c>
      <c r="AT52" s="107">
        <f t="shared" si="32"/>
        <v>87.21575419273</v>
      </c>
    </row>
    <row r="53" spans="17:46">
      <c r="Q53">
        <v>46</v>
      </c>
      <c r="R53" s="105">
        <f t="shared" si="0"/>
        <v>3.7</v>
      </c>
      <c r="S53" s="106">
        <f t="shared" si="34"/>
        <v>0.306666666666667</v>
      </c>
      <c r="T53" s="106">
        <f t="shared" si="2"/>
        <v>3</v>
      </c>
      <c r="U53" s="107">
        <f t="shared" si="35"/>
        <v>0.378222222222222</v>
      </c>
      <c r="V53" s="105">
        <f t="shared" si="36"/>
        <v>2</v>
      </c>
      <c r="W53" s="106">
        <f t="shared" si="37"/>
        <v>0.552238805970149</v>
      </c>
      <c r="X53" s="107">
        <f t="shared" si="38"/>
        <v>0.447761194029851</v>
      </c>
      <c r="Y53" s="105">
        <f t="shared" si="18"/>
        <v>0.236673773987207</v>
      </c>
      <c r="Z53" s="106">
        <f t="shared" si="33"/>
        <v>0.921562662876096</v>
      </c>
      <c r="AA53" s="106">
        <f t="shared" si="19"/>
        <v>0.384343495227678</v>
      </c>
      <c r="AB53" s="106">
        <v>0</v>
      </c>
      <c r="AC53" s="106">
        <f t="shared" si="20"/>
        <v>0.00147719922323828</v>
      </c>
      <c r="AD53" s="107">
        <f t="shared" si="21"/>
        <v>0.00147719922323828</v>
      </c>
      <c r="AE53" s="105">
        <f t="shared" si="22"/>
        <v>0.0640531564400221</v>
      </c>
      <c r="AF53" s="106">
        <f t="shared" si="23"/>
        <v>0.384343495227678</v>
      </c>
      <c r="AG53" s="106">
        <f t="shared" si="39"/>
        <v>0.00119653137082301</v>
      </c>
      <c r="AH53" s="106">
        <f t="shared" si="40"/>
        <v>-0.00327165807463141</v>
      </c>
      <c r="AI53" s="107">
        <f t="shared" si="24"/>
        <v>-0.0020751267038084</v>
      </c>
      <c r="AJ53" s="105">
        <f t="shared" si="25"/>
        <v>0.306666666666667</v>
      </c>
      <c r="AK53" s="106">
        <f t="shared" si="26"/>
        <v>0.539419057315773</v>
      </c>
      <c r="AL53" s="106">
        <f t="shared" si="27"/>
        <v>0.0996666666666667</v>
      </c>
      <c r="AM53" s="106">
        <f t="shared" si="41"/>
        <v>0</v>
      </c>
      <c r="AN53" s="107">
        <f t="shared" si="28"/>
        <v>0.0996666666666667</v>
      </c>
      <c r="AO53" s="105">
        <f t="shared" si="42"/>
        <v>0.00147719922323828</v>
      </c>
      <c r="AP53" s="106">
        <f t="shared" si="16"/>
        <v>0.055944</v>
      </c>
      <c r="AQ53" s="107">
        <f t="shared" si="29"/>
        <v>0.0099</v>
      </c>
      <c r="AR53" s="105">
        <f t="shared" si="30"/>
        <v>0.164912739186097</v>
      </c>
      <c r="AS53" s="106">
        <f t="shared" si="31"/>
        <v>1.13466666666667</v>
      </c>
      <c r="AT53" s="107">
        <f t="shared" si="32"/>
        <v>87.310299128826</v>
      </c>
    </row>
    <row r="54" spans="17:46">
      <c r="Q54">
        <v>47</v>
      </c>
      <c r="R54" s="105">
        <f t="shared" si="0"/>
        <v>3.7</v>
      </c>
      <c r="S54" s="106">
        <f t="shared" si="34"/>
        <v>0.313333333333333</v>
      </c>
      <c r="T54" s="106">
        <f t="shared" si="2"/>
        <v>3</v>
      </c>
      <c r="U54" s="107">
        <f t="shared" si="35"/>
        <v>0.386444444444445</v>
      </c>
      <c r="V54" s="105">
        <f t="shared" si="36"/>
        <v>2</v>
      </c>
      <c r="W54" s="106">
        <f t="shared" si="37"/>
        <v>0.552238805970149</v>
      </c>
      <c r="X54" s="107">
        <f t="shared" si="38"/>
        <v>0.447761194029851</v>
      </c>
      <c r="Y54" s="105">
        <f t="shared" si="18"/>
        <v>0.236673773987207</v>
      </c>
      <c r="Z54" s="106">
        <f t="shared" si="33"/>
        <v>0.936451551764985</v>
      </c>
      <c r="AA54" s="106">
        <f t="shared" si="19"/>
        <v>0.392437487484424</v>
      </c>
      <c r="AB54" s="106">
        <v>0</v>
      </c>
      <c r="AC54" s="106">
        <f t="shared" si="20"/>
        <v>0.00154007181583088</v>
      </c>
      <c r="AD54" s="107">
        <f t="shared" si="21"/>
        <v>0.00154007181583088</v>
      </c>
      <c r="AE54" s="105">
        <f t="shared" si="22"/>
        <v>0.0668683471531233</v>
      </c>
      <c r="AF54" s="106">
        <f t="shared" si="23"/>
        <v>0.392437487484424</v>
      </c>
      <c r="AG54" s="106">
        <f t="shared" si="39"/>
        <v>0.00124745817082301</v>
      </c>
      <c r="AH54" s="106">
        <f t="shared" si="40"/>
        <v>-0.00334278107625383</v>
      </c>
      <c r="AI54" s="107">
        <f t="shared" si="24"/>
        <v>-0.00209532290543082</v>
      </c>
      <c r="AJ54" s="105">
        <f t="shared" si="25"/>
        <v>0.313333333333333</v>
      </c>
      <c r="AK54" s="106">
        <f t="shared" si="26"/>
        <v>0.549346753577796</v>
      </c>
      <c r="AL54" s="106">
        <f t="shared" si="27"/>
        <v>0.101833333333333</v>
      </c>
      <c r="AM54" s="106">
        <f t="shared" si="41"/>
        <v>0</v>
      </c>
      <c r="AN54" s="107">
        <f t="shared" si="28"/>
        <v>0.101833333333333</v>
      </c>
      <c r="AO54" s="105">
        <f t="shared" si="42"/>
        <v>0.00154007181583088</v>
      </c>
      <c r="AP54" s="106">
        <f t="shared" si="16"/>
        <v>0.055944</v>
      </c>
      <c r="AQ54" s="107">
        <f t="shared" si="29"/>
        <v>0.0099</v>
      </c>
      <c r="AR54" s="105">
        <f t="shared" si="30"/>
        <v>0.167122082243733</v>
      </c>
      <c r="AS54" s="106">
        <f t="shared" si="31"/>
        <v>1.15933333333333</v>
      </c>
      <c r="AT54" s="107">
        <f t="shared" si="32"/>
        <v>87.4008519034145</v>
      </c>
    </row>
    <row r="55" spans="17:46">
      <c r="Q55">
        <v>48</v>
      </c>
      <c r="R55" s="105">
        <f t="shared" si="0"/>
        <v>3.7</v>
      </c>
      <c r="S55" s="106">
        <f t="shared" si="34"/>
        <v>0.32</v>
      </c>
      <c r="T55" s="106">
        <f t="shared" si="2"/>
        <v>3</v>
      </c>
      <c r="U55" s="107">
        <f t="shared" si="35"/>
        <v>0.394666666666667</v>
      </c>
      <c r="V55" s="105">
        <f t="shared" si="36"/>
        <v>2</v>
      </c>
      <c r="W55" s="106">
        <f t="shared" si="37"/>
        <v>0.552238805970149</v>
      </c>
      <c r="X55" s="107">
        <f t="shared" si="38"/>
        <v>0.447761194029851</v>
      </c>
      <c r="Y55" s="105">
        <f t="shared" si="18"/>
        <v>0.236673773987207</v>
      </c>
      <c r="Z55" s="106">
        <f t="shared" si="33"/>
        <v>0.951340440653874</v>
      </c>
      <c r="AA55" s="106">
        <f t="shared" si="19"/>
        <v>0.400536703335525</v>
      </c>
      <c r="AB55" s="106">
        <v>0</v>
      </c>
      <c r="AC55" s="106">
        <f t="shared" si="20"/>
        <v>0.0016042965071889</v>
      </c>
      <c r="AD55" s="107">
        <f t="shared" si="21"/>
        <v>0.0016042965071889</v>
      </c>
      <c r="AE55" s="105">
        <f t="shared" si="22"/>
        <v>0.0697440796019901</v>
      </c>
      <c r="AF55" s="106">
        <f t="shared" si="23"/>
        <v>0.400536703335525</v>
      </c>
      <c r="AG55" s="106">
        <f t="shared" si="39"/>
        <v>0.00129948017082301</v>
      </c>
      <c r="AH55" s="106">
        <f t="shared" si="40"/>
        <v>-0.00341390407787625</v>
      </c>
      <c r="AI55" s="107">
        <f t="shared" si="24"/>
        <v>-0.00211442390705324</v>
      </c>
      <c r="AJ55" s="105">
        <f t="shared" si="25"/>
        <v>0.32</v>
      </c>
      <c r="AK55" s="106">
        <f t="shared" si="26"/>
        <v>0.559275701649918</v>
      </c>
      <c r="AL55" s="106">
        <f t="shared" si="27"/>
        <v>0.104</v>
      </c>
      <c r="AM55" s="106">
        <f t="shared" si="41"/>
        <v>0</v>
      </c>
      <c r="AN55" s="107">
        <f t="shared" si="28"/>
        <v>0.104</v>
      </c>
      <c r="AO55" s="105">
        <f t="shared" si="42"/>
        <v>0.0016042965071889</v>
      </c>
      <c r="AP55" s="106">
        <f t="shared" si="16"/>
        <v>0.055944</v>
      </c>
      <c r="AQ55" s="107">
        <f t="shared" si="29"/>
        <v>0.0099</v>
      </c>
      <c r="AR55" s="105">
        <f t="shared" si="30"/>
        <v>0.169333872600136</v>
      </c>
      <c r="AS55" s="106">
        <f t="shared" si="31"/>
        <v>1.184</v>
      </c>
      <c r="AT55" s="107">
        <f t="shared" si="32"/>
        <v>87.4876498675972</v>
      </c>
    </row>
    <row r="56" spans="17:46">
      <c r="Q56">
        <v>49</v>
      </c>
      <c r="R56" s="105">
        <f t="shared" si="0"/>
        <v>3.7</v>
      </c>
      <c r="S56" s="106">
        <f t="shared" si="34"/>
        <v>0.326666666666667</v>
      </c>
      <c r="T56" s="106">
        <f t="shared" si="2"/>
        <v>3</v>
      </c>
      <c r="U56" s="107">
        <f t="shared" si="35"/>
        <v>0.402888888888889</v>
      </c>
      <c r="V56" s="105">
        <f t="shared" si="36"/>
        <v>2</v>
      </c>
      <c r="W56" s="106">
        <f t="shared" si="37"/>
        <v>0.552238805970149</v>
      </c>
      <c r="X56" s="107">
        <f t="shared" si="38"/>
        <v>0.447761194029851</v>
      </c>
      <c r="Y56" s="105">
        <f t="shared" si="18"/>
        <v>0.236673773987207</v>
      </c>
      <c r="Z56" s="106">
        <f t="shared" si="33"/>
        <v>0.966229329542762</v>
      </c>
      <c r="AA56" s="106">
        <f t="shared" si="19"/>
        <v>0.40864083218792</v>
      </c>
      <c r="AB56" s="106">
        <v>0</v>
      </c>
      <c r="AC56" s="106">
        <f t="shared" si="20"/>
        <v>0.00166987329731236</v>
      </c>
      <c r="AD56" s="107">
        <f t="shared" si="21"/>
        <v>0.00166987329731236</v>
      </c>
      <c r="AE56" s="105">
        <f t="shared" si="22"/>
        <v>0.0726803537866225</v>
      </c>
      <c r="AF56" s="106">
        <f t="shared" si="23"/>
        <v>0.40864083218792</v>
      </c>
      <c r="AG56" s="106">
        <f t="shared" si="39"/>
        <v>0.00135259737082301</v>
      </c>
      <c r="AH56" s="106">
        <f t="shared" si="40"/>
        <v>-0.00348502707949867</v>
      </c>
      <c r="AI56" s="107">
        <f t="shared" si="24"/>
        <v>-0.00213242970867566</v>
      </c>
      <c r="AJ56" s="105">
        <f t="shared" si="25"/>
        <v>0.326666666666667</v>
      </c>
      <c r="AK56" s="106">
        <f t="shared" si="26"/>
        <v>0.569205836024255</v>
      </c>
      <c r="AL56" s="106">
        <f t="shared" si="27"/>
        <v>0.106166666666667</v>
      </c>
      <c r="AM56" s="106">
        <f t="shared" si="41"/>
        <v>0</v>
      </c>
      <c r="AN56" s="107">
        <f t="shared" si="28"/>
        <v>0.106166666666667</v>
      </c>
      <c r="AO56" s="105">
        <f t="shared" si="42"/>
        <v>0.00166987329731236</v>
      </c>
      <c r="AP56" s="106">
        <f t="shared" si="16"/>
        <v>0.055944</v>
      </c>
      <c r="AQ56" s="107">
        <f t="shared" si="29"/>
        <v>0.0099</v>
      </c>
      <c r="AR56" s="105">
        <f t="shared" si="30"/>
        <v>0.171548110255303</v>
      </c>
      <c r="AS56" s="106">
        <f t="shared" si="31"/>
        <v>1.20866666666667</v>
      </c>
      <c r="AT56" s="107">
        <f t="shared" si="32"/>
        <v>87.5709119244561</v>
      </c>
    </row>
    <row r="57" spans="17:46">
      <c r="Q57">
        <v>50</v>
      </c>
      <c r="R57" s="105">
        <f t="shared" si="0"/>
        <v>3.7</v>
      </c>
      <c r="S57" s="106">
        <f t="shared" si="34"/>
        <v>0.333333333333333</v>
      </c>
      <c r="T57" s="106">
        <f t="shared" si="2"/>
        <v>3</v>
      </c>
      <c r="U57" s="107">
        <f t="shared" si="35"/>
        <v>0.411111111111111</v>
      </c>
      <c r="V57" s="105">
        <f t="shared" si="36"/>
        <v>2</v>
      </c>
      <c r="W57" s="106">
        <f t="shared" si="37"/>
        <v>0.552238805970149</v>
      </c>
      <c r="X57" s="107">
        <f t="shared" si="38"/>
        <v>0.447761194029851</v>
      </c>
      <c r="Y57" s="105">
        <f t="shared" si="18"/>
        <v>0.236673773987207</v>
      </c>
      <c r="Z57" s="106">
        <f t="shared" si="33"/>
        <v>0.981118218431651</v>
      </c>
      <c r="AA57" s="106">
        <f t="shared" si="19"/>
        <v>0.41674958742646</v>
      </c>
      <c r="AB57" s="106">
        <v>0</v>
      </c>
      <c r="AC57" s="106">
        <f t="shared" si="20"/>
        <v>0.00173680218620125</v>
      </c>
      <c r="AD57" s="107">
        <f t="shared" si="21"/>
        <v>0.00173680218620125</v>
      </c>
      <c r="AE57" s="105">
        <f t="shared" si="22"/>
        <v>0.0756771697070205</v>
      </c>
      <c r="AF57" s="106">
        <f t="shared" si="23"/>
        <v>0.41674958742646</v>
      </c>
      <c r="AG57" s="106">
        <f t="shared" si="39"/>
        <v>0.00140680977082301</v>
      </c>
      <c r="AH57" s="106">
        <f t="shared" si="40"/>
        <v>-0.00355615008112109</v>
      </c>
      <c r="AI57" s="107">
        <f t="shared" si="24"/>
        <v>-0.00214934031029808</v>
      </c>
      <c r="AJ57" s="105">
        <f t="shared" si="25"/>
        <v>0.333333333333333</v>
      </c>
      <c r="AK57" s="106">
        <f t="shared" si="26"/>
        <v>0.579137095678262</v>
      </c>
      <c r="AL57" s="106">
        <f t="shared" si="27"/>
        <v>0.108333333333333</v>
      </c>
      <c r="AM57" s="106">
        <f t="shared" si="41"/>
        <v>0</v>
      </c>
      <c r="AN57" s="107">
        <f t="shared" si="28"/>
        <v>0.108333333333333</v>
      </c>
      <c r="AO57" s="105">
        <f t="shared" si="42"/>
        <v>0.00173680218620125</v>
      </c>
      <c r="AP57" s="106">
        <f t="shared" si="16"/>
        <v>0.055944</v>
      </c>
      <c r="AQ57" s="107">
        <f t="shared" si="29"/>
        <v>0.0099</v>
      </c>
      <c r="AR57" s="105">
        <f t="shared" si="30"/>
        <v>0.173764795209237</v>
      </c>
      <c r="AS57" s="106">
        <f t="shared" si="31"/>
        <v>1.23333333333333</v>
      </c>
      <c r="AT57" s="107">
        <f t="shared" si="32"/>
        <v>87.6508402872217</v>
      </c>
    </row>
    <row r="58" spans="17:46">
      <c r="Q58">
        <v>51</v>
      </c>
      <c r="R58" s="105">
        <f t="shared" si="0"/>
        <v>3.7</v>
      </c>
      <c r="S58" s="106">
        <f t="shared" si="34"/>
        <v>0.34</v>
      </c>
      <c r="T58" s="106">
        <f t="shared" si="2"/>
        <v>3</v>
      </c>
      <c r="U58" s="107">
        <f t="shared" si="35"/>
        <v>0.419333333333333</v>
      </c>
      <c r="V58" s="105">
        <f t="shared" si="36"/>
        <v>2</v>
      </c>
      <c r="W58" s="106">
        <f t="shared" si="37"/>
        <v>0.552238805970149</v>
      </c>
      <c r="X58" s="107">
        <f t="shared" si="38"/>
        <v>0.447761194029851</v>
      </c>
      <c r="Y58" s="105">
        <f t="shared" si="18"/>
        <v>0.236673773987207</v>
      </c>
      <c r="Z58" s="106">
        <f t="shared" si="33"/>
        <v>0.99600710732054</v>
      </c>
      <c r="AA58" s="106">
        <f t="shared" si="19"/>
        <v>0.424862704159305</v>
      </c>
      <c r="AB58" s="106">
        <v>0</v>
      </c>
      <c r="AC58" s="106">
        <f t="shared" si="20"/>
        <v>0.00180508317385557</v>
      </c>
      <c r="AD58" s="107">
        <f t="shared" si="21"/>
        <v>0.00180508317385557</v>
      </c>
      <c r="AE58" s="105">
        <f t="shared" si="22"/>
        <v>0.0787345273631841</v>
      </c>
      <c r="AF58" s="106">
        <f t="shared" si="23"/>
        <v>0.424862704159305</v>
      </c>
      <c r="AG58" s="106">
        <f t="shared" si="39"/>
        <v>0.00146211737082301</v>
      </c>
      <c r="AH58" s="106">
        <f t="shared" si="40"/>
        <v>-0.00362727308274352</v>
      </c>
      <c r="AI58" s="107">
        <f t="shared" si="24"/>
        <v>-0.00216515571192051</v>
      </c>
      <c r="AJ58" s="105">
        <f t="shared" si="25"/>
        <v>0.34</v>
      </c>
      <c r="AK58" s="106">
        <f t="shared" si="26"/>
        <v>0.58906942369788</v>
      </c>
      <c r="AL58" s="106">
        <f t="shared" si="27"/>
        <v>0.1105</v>
      </c>
      <c r="AM58" s="106">
        <f t="shared" si="41"/>
        <v>0</v>
      </c>
      <c r="AN58" s="107">
        <f t="shared" si="28"/>
        <v>0.1105</v>
      </c>
      <c r="AO58" s="105">
        <f t="shared" si="42"/>
        <v>0.00180508317385557</v>
      </c>
      <c r="AP58" s="106">
        <f t="shared" si="16"/>
        <v>0.055944</v>
      </c>
      <c r="AQ58" s="107">
        <f t="shared" si="29"/>
        <v>0.0099</v>
      </c>
      <c r="AR58" s="105">
        <f t="shared" si="30"/>
        <v>0.175983927461935</v>
      </c>
      <c r="AS58" s="106">
        <f t="shared" si="31"/>
        <v>1.258</v>
      </c>
      <c r="AT58" s="107">
        <f t="shared" si="32"/>
        <v>87.7276220401287</v>
      </c>
    </row>
    <row r="59" spans="17:46">
      <c r="Q59">
        <v>52</v>
      </c>
      <c r="R59" s="105">
        <f t="shared" si="0"/>
        <v>3.7</v>
      </c>
      <c r="S59" s="106">
        <f t="shared" si="34"/>
        <v>0.346666666666667</v>
      </c>
      <c r="T59" s="106">
        <f t="shared" si="2"/>
        <v>3</v>
      </c>
      <c r="U59" s="107">
        <f t="shared" si="35"/>
        <v>0.427555555555556</v>
      </c>
      <c r="V59" s="105">
        <f t="shared" si="36"/>
        <v>2</v>
      </c>
      <c r="W59" s="106">
        <f t="shared" si="37"/>
        <v>0.552238805970149</v>
      </c>
      <c r="X59" s="107">
        <f t="shared" si="38"/>
        <v>0.447761194029851</v>
      </c>
      <c r="Y59" s="105">
        <f t="shared" si="18"/>
        <v>0.236673773987207</v>
      </c>
      <c r="Z59" s="106">
        <f t="shared" si="33"/>
        <v>1.01089599620943</v>
      </c>
      <c r="AA59" s="106">
        <f t="shared" si="19"/>
        <v>0.432979937211336</v>
      </c>
      <c r="AB59" s="106">
        <v>0</v>
      </c>
      <c r="AC59" s="106">
        <f t="shared" si="20"/>
        <v>0.00187471626027532</v>
      </c>
      <c r="AD59" s="107">
        <f t="shared" si="21"/>
        <v>0.00187471626027532</v>
      </c>
      <c r="AE59" s="105">
        <f t="shared" si="22"/>
        <v>0.0818524267551134</v>
      </c>
      <c r="AF59" s="106">
        <f t="shared" si="23"/>
        <v>0.432979937211336</v>
      </c>
      <c r="AG59" s="106">
        <f t="shared" si="39"/>
        <v>0.00151852017082301</v>
      </c>
      <c r="AH59" s="106">
        <f t="shared" si="40"/>
        <v>-0.00369839608436594</v>
      </c>
      <c r="AI59" s="107">
        <f t="shared" si="24"/>
        <v>-0.00217987591354293</v>
      </c>
      <c r="AJ59" s="105">
        <f t="shared" si="25"/>
        <v>0.346666666666667</v>
      </c>
      <c r="AK59" s="106">
        <f t="shared" si="26"/>
        <v>0.599002766937992</v>
      </c>
      <c r="AL59" s="106">
        <f t="shared" si="27"/>
        <v>0.112666666666667</v>
      </c>
      <c r="AM59" s="106">
        <f t="shared" si="41"/>
        <v>0</v>
      </c>
      <c r="AN59" s="107">
        <f t="shared" si="28"/>
        <v>0.112666666666667</v>
      </c>
      <c r="AO59" s="105">
        <f t="shared" si="42"/>
        <v>0.00187471626027532</v>
      </c>
      <c r="AP59" s="106">
        <f t="shared" si="16"/>
        <v>0.055944</v>
      </c>
      <c r="AQ59" s="107">
        <f t="shared" si="29"/>
        <v>0.0099</v>
      </c>
      <c r="AR59" s="105">
        <f t="shared" si="30"/>
        <v>0.178205507013399</v>
      </c>
      <c r="AS59" s="106">
        <f t="shared" si="31"/>
        <v>1.28266666666667</v>
      </c>
      <c r="AT59" s="107">
        <f t="shared" si="32"/>
        <v>87.801430527321</v>
      </c>
    </row>
    <row r="60" spans="17:46">
      <c r="Q60">
        <v>53</v>
      </c>
      <c r="R60" s="105">
        <f t="shared" si="0"/>
        <v>3.7</v>
      </c>
      <c r="S60" s="106">
        <f t="shared" si="34"/>
        <v>0.353333333333333</v>
      </c>
      <c r="T60" s="106">
        <f t="shared" si="2"/>
        <v>3</v>
      </c>
      <c r="U60" s="107">
        <f t="shared" si="35"/>
        <v>0.435777777777778</v>
      </c>
      <c r="V60" s="105">
        <f t="shared" si="36"/>
        <v>2</v>
      </c>
      <c r="W60" s="106">
        <f t="shared" si="37"/>
        <v>0.552238805970149</v>
      </c>
      <c r="X60" s="107">
        <f t="shared" si="38"/>
        <v>0.447761194029851</v>
      </c>
      <c r="Y60" s="105">
        <f t="shared" si="18"/>
        <v>0.236673773987207</v>
      </c>
      <c r="Z60" s="106">
        <f t="shared" si="33"/>
        <v>1.02578488509832</v>
      </c>
      <c r="AA60" s="106">
        <f t="shared" si="19"/>
        <v>0.441101059334537</v>
      </c>
      <c r="AB60" s="106">
        <v>0</v>
      </c>
      <c r="AC60" s="106">
        <f t="shared" si="20"/>
        <v>0.00194570144546051</v>
      </c>
      <c r="AD60" s="107">
        <f t="shared" si="21"/>
        <v>0.00194570144546051</v>
      </c>
      <c r="AE60" s="105">
        <f t="shared" si="22"/>
        <v>0.0850308678828082</v>
      </c>
      <c r="AF60" s="106">
        <f t="shared" si="23"/>
        <v>0.441101059334537</v>
      </c>
      <c r="AG60" s="106">
        <f t="shared" si="39"/>
        <v>0.00157601817082301</v>
      </c>
      <c r="AH60" s="106">
        <f t="shared" si="40"/>
        <v>-0.00376951908598836</v>
      </c>
      <c r="AI60" s="107">
        <f t="shared" si="24"/>
        <v>-0.00219350091516535</v>
      </c>
      <c r="AJ60" s="105">
        <f t="shared" si="25"/>
        <v>0.353333333333333</v>
      </c>
      <c r="AK60" s="106">
        <f t="shared" si="26"/>
        <v>0.608937075715962</v>
      </c>
      <c r="AL60" s="106">
        <f t="shared" si="27"/>
        <v>0.114833333333333</v>
      </c>
      <c r="AM60" s="106">
        <f t="shared" si="41"/>
        <v>0</v>
      </c>
      <c r="AN60" s="107">
        <f t="shared" si="28"/>
        <v>0.114833333333333</v>
      </c>
      <c r="AO60" s="105">
        <f t="shared" si="42"/>
        <v>0.00194570144546051</v>
      </c>
      <c r="AP60" s="106">
        <f t="shared" si="16"/>
        <v>0.055944</v>
      </c>
      <c r="AQ60" s="107">
        <f t="shared" si="29"/>
        <v>0.0099</v>
      </c>
      <c r="AR60" s="105">
        <f t="shared" si="30"/>
        <v>0.180429533863629</v>
      </c>
      <c r="AS60" s="106">
        <f t="shared" si="31"/>
        <v>1.30733333333333</v>
      </c>
      <c r="AT60" s="107">
        <f t="shared" si="32"/>
        <v>87.8724265915059</v>
      </c>
    </row>
    <row r="61" spans="17:46">
      <c r="Q61">
        <v>54</v>
      </c>
      <c r="R61" s="105">
        <f t="shared" si="0"/>
        <v>3.7</v>
      </c>
      <c r="S61" s="106">
        <f t="shared" si="34"/>
        <v>0.36</v>
      </c>
      <c r="T61" s="106">
        <f t="shared" si="2"/>
        <v>3</v>
      </c>
      <c r="U61" s="107">
        <f t="shared" si="35"/>
        <v>0.444</v>
      </c>
      <c r="V61" s="105">
        <f t="shared" si="36"/>
        <v>2</v>
      </c>
      <c r="W61" s="106">
        <f t="shared" si="37"/>
        <v>0.552238805970149</v>
      </c>
      <c r="X61" s="107">
        <f t="shared" si="38"/>
        <v>0.447761194029851</v>
      </c>
      <c r="Y61" s="105">
        <f t="shared" si="18"/>
        <v>0.236673773987207</v>
      </c>
      <c r="Z61" s="106">
        <f t="shared" si="33"/>
        <v>1.04067377398721</v>
      </c>
      <c r="AA61" s="106">
        <f t="shared" si="19"/>
        <v>0.44922585960863</v>
      </c>
      <c r="AB61" s="106">
        <v>0</v>
      </c>
      <c r="AC61" s="106">
        <f t="shared" si="20"/>
        <v>0.00201803872941112</v>
      </c>
      <c r="AD61" s="107">
        <f t="shared" si="21"/>
        <v>0.00201803872941112</v>
      </c>
      <c r="AE61" s="105">
        <f t="shared" si="22"/>
        <v>0.0882698507462687</v>
      </c>
      <c r="AF61" s="106">
        <f t="shared" si="23"/>
        <v>0.44922585960863</v>
      </c>
      <c r="AG61" s="106">
        <f t="shared" si="39"/>
        <v>0.00163461137082301</v>
      </c>
      <c r="AH61" s="106">
        <f t="shared" si="40"/>
        <v>-0.00384064208761078</v>
      </c>
      <c r="AI61" s="107">
        <f t="shared" si="24"/>
        <v>-0.00220603071678777</v>
      </c>
      <c r="AJ61" s="105">
        <f t="shared" si="25"/>
        <v>0.36</v>
      </c>
      <c r="AK61" s="106">
        <f t="shared" si="26"/>
        <v>0.618872303534552</v>
      </c>
      <c r="AL61" s="106">
        <f t="shared" si="27"/>
        <v>0.117</v>
      </c>
      <c r="AM61" s="106">
        <f t="shared" si="41"/>
        <v>0</v>
      </c>
      <c r="AN61" s="107">
        <f t="shared" si="28"/>
        <v>0.117</v>
      </c>
      <c r="AO61" s="105">
        <f t="shared" si="42"/>
        <v>0.00201803872941112</v>
      </c>
      <c r="AP61" s="106">
        <f t="shared" si="16"/>
        <v>0.055944</v>
      </c>
      <c r="AQ61" s="107">
        <f t="shared" si="29"/>
        <v>0.0099</v>
      </c>
      <c r="AR61" s="105">
        <f t="shared" si="30"/>
        <v>0.182656008012623</v>
      </c>
      <c r="AS61" s="106">
        <f t="shared" si="31"/>
        <v>1.332</v>
      </c>
      <c r="AT61" s="107">
        <f t="shared" si="32"/>
        <v>87.9407596809862</v>
      </c>
    </row>
    <row r="62" spans="17:46">
      <c r="Q62">
        <v>55</v>
      </c>
      <c r="R62" s="105">
        <f t="shared" si="0"/>
        <v>3.7</v>
      </c>
      <c r="S62" s="106">
        <f t="shared" si="34"/>
        <v>0.366666666666667</v>
      </c>
      <c r="T62" s="106">
        <f t="shared" si="2"/>
        <v>3</v>
      </c>
      <c r="U62" s="107">
        <f t="shared" si="35"/>
        <v>0.452222222222222</v>
      </c>
      <c r="V62" s="105">
        <f t="shared" si="36"/>
        <v>2</v>
      </c>
      <c r="W62" s="106">
        <f t="shared" si="37"/>
        <v>0.552238805970149</v>
      </c>
      <c r="X62" s="107">
        <f t="shared" si="38"/>
        <v>0.447761194029851</v>
      </c>
      <c r="Y62" s="105">
        <f t="shared" si="18"/>
        <v>0.236673773987207</v>
      </c>
      <c r="Z62" s="106">
        <f t="shared" si="33"/>
        <v>1.0555626628761</v>
      </c>
      <c r="AA62" s="106">
        <f t="shared" si="19"/>
        <v>0.457354142008922</v>
      </c>
      <c r="AB62" s="106">
        <v>0</v>
      </c>
      <c r="AC62" s="106">
        <f t="shared" si="20"/>
        <v>0.00209172811212717</v>
      </c>
      <c r="AD62" s="107">
        <f t="shared" si="21"/>
        <v>0.00209172811212717</v>
      </c>
      <c r="AE62" s="105">
        <f t="shared" si="22"/>
        <v>0.0915693753454948</v>
      </c>
      <c r="AF62" s="106">
        <f t="shared" si="23"/>
        <v>0.457354142008922</v>
      </c>
      <c r="AG62" s="106">
        <f t="shared" si="39"/>
        <v>0.00169429977082301</v>
      </c>
      <c r="AH62" s="106">
        <f t="shared" si="40"/>
        <v>-0.0039117650892332</v>
      </c>
      <c r="AI62" s="107">
        <f t="shared" si="24"/>
        <v>-0.00221746531841019</v>
      </c>
      <c r="AJ62" s="105">
        <f t="shared" si="25"/>
        <v>0.366666666666667</v>
      </c>
      <c r="AK62" s="106">
        <f t="shared" si="26"/>
        <v>0.628808406830997</v>
      </c>
      <c r="AL62" s="106">
        <f t="shared" si="27"/>
        <v>0.119166666666667</v>
      </c>
      <c r="AM62" s="106">
        <f t="shared" si="41"/>
        <v>0</v>
      </c>
      <c r="AN62" s="107">
        <f t="shared" si="28"/>
        <v>0.119166666666667</v>
      </c>
      <c r="AO62" s="105">
        <f t="shared" si="42"/>
        <v>0.00209172811212717</v>
      </c>
      <c r="AP62" s="106">
        <f t="shared" si="16"/>
        <v>0.055944</v>
      </c>
      <c r="AQ62" s="107">
        <f t="shared" si="29"/>
        <v>0.0099</v>
      </c>
      <c r="AR62" s="105">
        <f t="shared" si="30"/>
        <v>0.184884929460384</v>
      </c>
      <c r="AS62" s="106">
        <f t="shared" si="31"/>
        <v>1.35666666666667</v>
      </c>
      <c r="AT62" s="107">
        <f t="shared" si="32"/>
        <v>88.0065688411025</v>
      </c>
    </row>
    <row r="63" spans="17:46">
      <c r="Q63">
        <v>56</v>
      </c>
      <c r="R63" s="105">
        <f t="shared" si="0"/>
        <v>3.7</v>
      </c>
      <c r="S63" s="106">
        <f t="shared" si="34"/>
        <v>0.373333333333333</v>
      </c>
      <c r="T63" s="106">
        <f t="shared" si="2"/>
        <v>3</v>
      </c>
      <c r="U63" s="107">
        <f t="shared" si="35"/>
        <v>0.460444444444444</v>
      </c>
      <c r="V63" s="105">
        <f t="shared" si="36"/>
        <v>2</v>
      </c>
      <c r="W63" s="106">
        <f t="shared" si="37"/>
        <v>0.552238805970149</v>
      </c>
      <c r="X63" s="107">
        <f t="shared" si="38"/>
        <v>0.447761194029851</v>
      </c>
      <c r="Y63" s="105">
        <f t="shared" si="18"/>
        <v>0.236673773987207</v>
      </c>
      <c r="Z63" s="106">
        <f t="shared" si="33"/>
        <v>1.07045155176498</v>
      </c>
      <c r="AA63" s="106">
        <f t="shared" si="19"/>
        <v>0.465485724121444</v>
      </c>
      <c r="AB63" s="106">
        <v>0</v>
      </c>
      <c r="AC63" s="106">
        <f t="shared" si="20"/>
        <v>0.00216676959360865</v>
      </c>
      <c r="AD63" s="107">
        <f t="shared" si="21"/>
        <v>0.00216676959360865</v>
      </c>
      <c r="AE63" s="105">
        <f t="shared" si="22"/>
        <v>0.0949294416804865</v>
      </c>
      <c r="AF63" s="106">
        <f t="shared" si="23"/>
        <v>0.465485724121444</v>
      </c>
      <c r="AG63" s="106">
        <f t="shared" si="39"/>
        <v>0.00175508337082301</v>
      </c>
      <c r="AH63" s="106">
        <f t="shared" si="40"/>
        <v>-0.00398288809085562</v>
      </c>
      <c r="AI63" s="107">
        <f t="shared" si="24"/>
        <v>-0.00222780472003261</v>
      </c>
      <c r="AJ63" s="105">
        <f t="shared" si="25"/>
        <v>0.373333333333333</v>
      </c>
      <c r="AK63" s="106">
        <f t="shared" si="26"/>
        <v>0.638745344749399</v>
      </c>
      <c r="AL63" s="106">
        <f t="shared" si="27"/>
        <v>0.121333333333333</v>
      </c>
      <c r="AM63" s="106">
        <f t="shared" si="41"/>
        <v>0</v>
      </c>
      <c r="AN63" s="107">
        <f t="shared" si="28"/>
        <v>0.121333333333333</v>
      </c>
      <c r="AO63" s="105">
        <f t="shared" si="42"/>
        <v>0.00216676959360865</v>
      </c>
      <c r="AP63" s="106">
        <f t="shared" si="16"/>
        <v>0.055944</v>
      </c>
      <c r="AQ63" s="107">
        <f t="shared" si="29"/>
        <v>0.0099</v>
      </c>
      <c r="AR63" s="105">
        <f t="shared" si="30"/>
        <v>0.187116298206909</v>
      </c>
      <c r="AS63" s="106">
        <f t="shared" si="31"/>
        <v>1.38133333333333</v>
      </c>
      <c r="AT63" s="107">
        <f t="shared" si="32"/>
        <v>88.0699836039262</v>
      </c>
    </row>
    <row r="64" spans="17:46">
      <c r="Q64">
        <v>57</v>
      </c>
      <c r="R64" s="105">
        <f t="shared" si="0"/>
        <v>3.7</v>
      </c>
      <c r="S64" s="106">
        <f t="shared" si="34"/>
        <v>0.38</v>
      </c>
      <c r="T64" s="106">
        <f t="shared" si="2"/>
        <v>3</v>
      </c>
      <c r="U64" s="107">
        <f t="shared" si="35"/>
        <v>0.468666666666667</v>
      </c>
      <c r="V64" s="105">
        <f t="shared" si="36"/>
        <v>2</v>
      </c>
      <c r="W64" s="106">
        <f t="shared" si="37"/>
        <v>0.552238805970149</v>
      </c>
      <c r="X64" s="107">
        <f t="shared" si="38"/>
        <v>0.447761194029851</v>
      </c>
      <c r="Y64" s="105">
        <f t="shared" si="18"/>
        <v>0.236673773987207</v>
      </c>
      <c r="Z64" s="106">
        <f t="shared" si="33"/>
        <v>1.08534044065387</v>
      </c>
      <c r="AA64" s="106">
        <f t="shared" si="19"/>
        <v>0.473620435988099</v>
      </c>
      <c r="AB64" s="106">
        <v>0</v>
      </c>
      <c r="AC64" s="106">
        <f t="shared" si="20"/>
        <v>0.00224316317385557</v>
      </c>
      <c r="AD64" s="107">
        <f t="shared" si="21"/>
        <v>0.00224316317385557</v>
      </c>
      <c r="AE64" s="105">
        <f t="shared" si="22"/>
        <v>0.0983500497512438</v>
      </c>
      <c r="AF64" s="106">
        <f t="shared" si="23"/>
        <v>0.473620435988099</v>
      </c>
      <c r="AG64" s="106">
        <f t="shared" si="39"/>
        <v>0.00181696217082301</v>
      </c>
      <c r="AH64" s="106">
        <f t="shared" si="40"/>
        <v>-0.00405401109247805</v>
      </c>
      <c r="AI64" s="107">
        <f t="shared" si="24"/>
        <v>-0.00223704892165504</v>
      </c>
      <c r="AJ64" s="105">
        <f t="shared" si="25"/>
        <v>0.38</v>
      </c>
      <c r="AK64" s="106">
        <f t="shared" si="26"/>
        <v>0.648683078933958</v>
      </c>
      <c r="AL64" s="106">
        <f t="shared" si="27"/>
        <v>0.1235</v>
      </c>
      <c r="AM64" s="106">
        <f t="shared" si="41"/>
        <v>0</v>
      </c>
      <c r="AN64" s="107">
        <f t="shared" si="28"/>
        <v>0.1235</v>
      </c>
      <c r="AO64" s="105">
        <f t="shared" si="42"/>
        <v>0.00224316317385557</v>
      </c>
      <c r="AP64" s="106">
        <f t="shared" si="16"/>
        <v>0.055944</v>
      </c>
      <c r="AQ64" s="107">
        <f t="shared" si="29"/>
        <v>0.0099</v>
      </c>
      <c r="AR64" s="105">
        <f t="shared" si="30"/>
        <v>0.189350114252201</v>
      </c>
      <c r="AS64" s="106">
        <f t="shared" si="31"/>
        <v>1.406</v>
      </c>
      <c r="AT64" s="107">
        <f t="shared" si="32"/>
        <v>88.1311247881813</v>
      </c>
    </row>
    <row r="65" spans="17:46">
      <c r="Q65">
        <v>58</v>
      </c>
      <c r="R65" s="105">
        <f t="shared" si="0"/>
        <v>3.7</v>
      </c>
      <c r="S65" s="106">
        <f t="shared" si="34"/>
        <v>0.386666666666667</v>
      </c>
      <c r="T65" s="106">
        <f t="shared" si="2"/>
        <v>3</v>
      </c>
      <c r="U65" s="107">
        <f t="shared" si="35"/>
        <v>0.476888888888889</v>
      </c>
      <c r="V65" s="105">
        <f t="shared" si="36"/>
        <v>2</v>
      </c>
      <c r="W65" s="106">
        <f t="shared" si="37"/>
        <v>0.552238805970149</v>
      </c>
      <c r="X65" s="107">
        <f t="shared" si="38"/>
        <v>0.447761194029851</v>
      </c>
      <c r="Y65" s="105">
        <f t="shared" si="18"/>
        <v>0.236673773987207</v>
      </c>
      <c r="Z65" s="106">
        <f t="shared" si="33"/>
        <v>1.10022932954276</v>
      </c>
      <c r="AA65" s="106">
        <f t="shared" si="19"/>
        <v>0.481758119066811</v>
      </c>
      <c r="AB65" s="106">
        <v>0</v>
      </c>
      <c r="AC65" s="106">
        <f t="shared" si="20"/>
        <v>0.00232090885286791</v>
      </c>
      <c r="AD65" s="107">
        <f t="shared" si="21"/>
        <v>0.00232090885286791</v>
      </c>
      <c r="AE65" s="105">
        <f t="shared" si="22"/>
        <v>0.101831199557767</v>
      </c>
      <c r="AF65" s="106">
        <f t="shared" si="23"/>
        <v>0.481758119066811</v>
      </c>
      <c r="AG65" s="106">
        <f t="shared" si="39"/>
        <v>0.00187993617082301</v>
      </c>
      <c r="AH65" s="106">
        <f t="shared" si="40"/>
        <v>-0.00412513409410047</v>
      </c>
      <c r="AI65" s="107">
        <f t="shared" si="24"/>
        <v>-0.00224519792327746</v>
      </c>
      <c r="AJ65" s="105">
        <f t="shared" si="25"/>
        <v>0.386666666666667</v>
      </c>
      <c r="AK65" s="106">
        <f t="shared" si="26"/>
        <v>0.658621573340845</v>
      </c>
      <c r="AL65" s="106">
        <f t="shared" si="27"/>
        <v>0.125666666666667</v>
      </c>
      <c r="AM65" s="106">
        <f t="shared" si="41"/>
        <v>0</v>
      </c>
      <c r="AN65" s="107">
        <f t="shared" si="28"/>
        <v>0.125666666666667</v>
      </c>
      <c r="AO65" s="105">
        <f t="shared" si="42"/>
        <v>0.00232090885286791</v>
      </c>
      <c r="AP65" s="106">
        <f t="shared" si="16"/>
        <v>0.055944</v>
      </c>
      <c r="AQ65" s="107">
        <f t="shared" si="29"/>
        <v>0.0099</v>
      </c>
      <c r="AR65" s="105">
        <f t="shared" si="30"/>
        <v>0.191586377596257</v>
      </c>
      <c r="AS65" s="106">
        <f t="shared" si="31"/>
        <v>1.43066666666667</v>
      </c>
      <c r="AT65" s="107">
        <f t="shared" si="32"/>
        <v>88.1901052197868</v>
      </c>
    </row>
    <row r="66" spans="17:46">
      <c r="Q66">
        <v>59</v>
      </c>
      <c r="R66" s="105">
        <f t="shared" si="0"/>
        <v>3.7</v>
      </c>
      <c r="S66" s="106">
        <f t="shared" si="34"/>
        <v>0.393333333333333</v>
      </c>
      <c r="T66" s="106">
        <f t="shared" si="2"/>
        <v>3</v>
      </c>
      <c r="U66" s="107">
        <f t="shared" si="35"/>
        <v>0.485111111111111</v>
      </c>
      <c r="V66" s="105">
        <f t="shared" si="36"/>
        <v>2</v>
      </c>
      <c r="W66" s="106">
        <f t="shared" si="37"/>
        <v>0.552238805970149</v>
      </c>
      <c r="X66" s="107">
        <f t="shared" si="38"/>
        <v>0.447761194029851</v>
      </c>
      <c r="Y66" s="105">
        <f t="shared" si="18"/>
        <v>0.236673773987207</v>
      </c>
      <c r="Z66" s="106">
        <f t="shared" si="33"/>
        <v>1.11511821843165</v>
      </c>
      <c r="AA66" s="106">
        <f t="shared" si="19"/>
        <v>0.48989862529361</v>
      </c>
      <c r="AB66" s="106">
        <v>0</v>
      </c>
      <c r="AC66" s="106">
        <f t="shared" si="20"/>
        <v>0.00240000663064569</v>
      </c>
      <c r="AD66" s="107">
        <f t="shared" si="21"/>
        <v>0.00240000663064569</v>
      </c>
      <c r="AE66" s="105">
        <f t="shared" si="22"/>
        <v>0.105372891100055</v>
      </c>
      <c r="AF66" s="106">
        <f t="shared" si="23"/>
        <v>0.48989862529361</v>
      </c>
      <c r="AG66" s="106">
        <f t="shared" si="39"/>
        <v>0.00194400537082301</v>
      </c>
      <c r="AH66" s="106">
        <f t="shared" si="40"/>
        <v>-0.00419625709572289</v>
      </c>
      <c r="AI66" s="107">
        <f t="shared" si="24"/>
        <v>-0.00225225172489988</v>
      </c>
      <c r="AJ66" s="105">
        <f t="shared" si="25"/>
        <v>0.393333333333333</v>
      </c>
      <c r="AK66" s="106">
        <f t="shared" si="26"/>
        <v>0.668560794066791</v>
      </c>
      <c r="AL66" s="106">
        <f t="shared" si="27"/>
        <v>0.127833333333333</v>
      </c>
      <c r="AM66" s="106">
        <f t="shared" si="41"/>
        <v>0</v>
      </c>
      <c r="AN66" s="107">
        <f t="shared" si="28"/>
        <v>0.127833333333333</v>
      </c>
      <c r="AO66" s="105">
        <f t="shared" si="42"/>
        <v>0.00240000663064569</v>
      </c>
      <c r="AP66" s="106">
        <f t="shared" si="16"/>
        <v>0.055944</v>
      </c>
      <c r="AQ66" s="107">
        <f t="shared" si="29"/>
        <v>0.0099</v>
      </c>
      <c r="AR66" s="105">
        <f t="shared" si="30"/>
        <v>0.193825088239079</v>
      </c>
      <c r="AS66" s="106">
        <f t="shared" si="31"/>
        <v>1.45533333333333</v>
      </c>
      <c r="AT66" s="107">
        <f t="shared" si="32"/>
        <v>88.2470303820615</v>
      </c>
    </row>
    <row r="67" spans="17:46">
      <c r="Q67">
        <v>60</v>
      </c>
      <c r="R67" s="105">
        <f t="shared" si="0"/>
        <v>3.7</v>
      </c>
      <c r="S67" s="106">
        <f t="shared" si="34"/>
        <v>0.4</v>
      </c>
      <c r="T67" s="106">
        <f t="shared" si="2"/>
        <v>3</v>
      </c>
      <c r="U67" s="107">
        <f t="shared" si="35"/>
        <v>0.493333333333333</v>
      </c>
      <c r="V67" s="105">
        <f t="shared" si="36"/>
        <v>2</v>
      </c>
      <c r="W67" s="106">
        <f t="shared" si="37"/>
        <v>0.552238805970149</v>
      </c>
      <c r="X67" s="107">
        <f t="shared" si="38"/>
        <v>0.447761194029851</v>
      </c>
      <c r="Y67" s="105">
        <f t="shared" si="18"/>
        <v>0.236673773987207</v>
      </c>
      <c r="Z67" s="106">
        <f t="shared" si="33"/>
        <v>1.13000710732054</v>
      </c>
      <c r="AA67" s="106">
        <f t="shared" si="19"/>
        <v>0.498041816235234</v>
      </c>
      <c r="AB67" s="106">
        <v>0</v>
      </c>
      <c r="AC67" s="106">
        <f t="shared" si="20"/>
        <v>0.0024804565071889</v>
      </c>
      <c r="AD67" s="107">
        <f t="shared" si="21"/>
        <v>0.0024804565071889</v>
      </c>
      <c r="AE67" s="105">
        <f t="shared" si="22"/>
        <v>0.108975124378109</v>
      </c>
      <c r="AF67" s="106">
        <f t="shared" si="23"/>
        <v>0.498041816235234</v>
      </c>
      <c r="AG67" s="106">
        <f t="shared" si="39"/>
        <v>0.00200916977082301</v>
      </c>
      <c r="AH67" s="106">
        <f t="shared" si="40"/>
        <v>-0.00426738009734531</v>
      </c>
      <c r="AI67" s="107">
        <f t="shared" si="24"/>
        <v>-0.0022582103265223</v>
      </c>
      <c r="AJ67" s="105">
        <f t="shared" si="25"/>
        <v>0.4</v>
      </c>
      <c r="AK67" s="106">
        <f t="shared" si="26"/>
        <v>0.678500709192691</v>
      </c>
      <c r="AL67" s="106">
        <f t="shared" si="27"/>
        <v>0.13</v>
      </c>
      <c r="AM67" s="106">
        <f t="shared" si="41"/>
        <v>0</v>
      </c>
      <c r="AN67" s="107">
        <f t="shared" si="28"/>
        <v>0.13</v>
      </c>
      <c r="AO67" s="105">
        <f t="shared" si="42"/>
        <v>0.0024804565071889</v>
      </c>
      <c r="AP67" s="106">
        <f t="shared" si="16"/>
        <v>0.055944</v>
      </c>
      <c r="AQ67" s="107">
        <f t="shared" si="29"/>
        <v>0.0099</v>
      </c>
      <c r="AR67" s="105">
        <f t="shared" si="30"/>
        <v>0.196066246180667</v>
      </c>
      <c r="AS67" s="106">
        <f t="shared" si="31"/>
        <v>1.48</v>
      </c>
      <c r="AT67" s="107">
        <f t="shared" si="32"/>
        <v>88.301999003473</v>
      </c>
    </row>
    <row r="68" spans="17:46">
      <c r="Q68">
        <v>61</v>
      </c>
      <c r="R68" s="105">
        <f t="shared" si="0"/>
        <v>3.7</v>
      </c>
      <c r="S68" s="106">
        <f t="shared" si="34"/>
        <v>0.406666666666667</v>
      </c>
      <c r="T68" s="106">
        <f t="shared" si="2"/>
        <v>3</v>
      </c>
      <c r="U68" s="107">
        <f t="shared" si="35"/>
        <v>0.501555555555556</v>
      </c>
      <c r="V68" s="105">
        <f t="shared" si="36"/>
        <v>2</v>
      </c>
      <c r="W68" s="106">
        <f t="shared" si="37"/>
        <v>0.552238805970149</v>
      </c>
      <c r="X68" s="107">
        <f t="shared" si="38"/>
        <v>0.447761194029851</v>
      </c>
      <c r="Y68" s="105">
        <f t="shared" si="18"/>
        <v>0.236673773987207</v>
      </c>
      <c r="Z68" s="106">
        <f t="shared" si="33"/>
        <v>1.14489599620943</v>
      </c>
      <c r="AA68" s="106">
        <f t="shared" si="19"/>
        <v>0.506187562322262</v>
      </c>
      <c r="AB68" s="106">
        <v>0</v>
      </c>
      <c r="AC68" s="106">
        <f t="shared" si="20"/>
        <v>0.00256225848249754</v>
      </c>
      <c r="AD68" s="107">
        <f t="shared" si="21"/>
        <v>0.00256225848249754</v>
      </c>
      <c r="AE68" s="105">
        <f t="shared" si="22"/>
        <v>0.112637899391929</v>
      </c>
      <c r="AF68" s="106">
        <f t="shared" si="23"/>
        <v>0.506187562322262</v>
      </c>
      <c r="AG68" s="106">
        <f t="shared" si="39"/>
        <v>0.00207542937082301</v>
      </c>
      <c r="AH68" s="106">
        <f t="shared" si="40"/>
        <v>-0.00433850309896773</v>
      </c>
      <c r="AI68" s="107">
        <f t="shared" si="24"/>
        <v>-0.00226307372814472</v>
      </c>
      <c r="AJ68" s="105">
        <f t="shared" si="25"/>
        <v>0.406666666666667</v>
      </c>
      <c r="AK68" s="106">
        <f t="shared" si="26"/>
        <v>0.688441288640701</v>
      </c>
      <c r="AL68" s="106">
        <f t="shared" si="27"/>
        <v>0.132166666666667</v>
      </c>
      <c r="AM68" s="106">
        <f t="shared" si="41"/>
        <v>0</v>
      </c>
      <c r="AN68" s="107">
        <f t="shared" si="28"/>
        <v>0.132166666666667</v>
      </c>
      <c r="AO68" s="105">
        <f t="shared" si="42"/>
        <v>0.00256225848249754</v>
      </c>
      <c r="AP68" s="106">
        <f t="shared" si="16"/>
        <v>0.055944</v>
      </c>
      <c r="AQ68" s="107">
        <f t="shared" si="29"/>
        <v>0.0099</v>
      </c>
      <c r="AR68" s="105">
        <f t="shared" si="30"/>
        <v>0.19830985142102</v>
      </c>
      <c r="AS68" s="106">
        <f t="shared" si="31"/>
        <v>1.50466666666667</v>
      </c>
      <c r="AT68" s="107">
        <f t="shared" si="32"/>
        <v>88.3551035898189</v>
      </c>
    </row>
    <row r="69" spans="17:46">
      <c r="Q69">
        <v>62</v>
      </c>
      <c r="R69" s="105">
        <f t="shared" si="0"/>
        <v>3.7</v>
      </c>
      <c r="S69" s="106">
        <f t="shared" si="34"/>
        <v>0.413333333333333</v>
      </c>
      <c r="T69" s="106">
        <f t="shared" si="2"/>
        <v>3</v>
      </c>
      <c r="U69" s="107">
        <f t="shared" si="35"/>
        <v>0.509777777777778</v>
      </c>
      <c r="V69" s="105">
        <f t="shared" si="36"/>
        <v>2</v>
      </c>
      <c r="W69" s="106">
        <f t="shared" si="37"/>
        <v>0.552238805970149</v>
      </c>
      <c r="X69" s="107">
        <f t="shared" si="38"/>
        <v>0.447761194029851</v>
      </c>
      <c r="Y69" s="105">
        <f t="shared" si="18"/>
        <v>0.236673773987207</v>
      </c>
      <c r="Z69" s="106">
        <f t="shared" si="33"/>
        <v>1.15978488509832</v>
      </c>
      <c r="AA69" s="106">
        <f t="shared" si="19"/>
        <v>0.514335742154054</v>
      </c>
      <c r="AB69" s="106">
        <v>0</v>
      </c>
      <c r="AC69" s="106">
        <f t="shared" si="20"/>
        <v>0.00264541255657162</v>
      </c>
      <c r="AD69" s="107">
        <f t="shared" si="21"/>
        <v>0.00264541255657162</v>
      </c>
      <c r="AE69" s="105">
        <f t="shared" si="22"/>
        <v>0.116361216141515</v>
      </c>
      <c r="AF69" s="106">
        <f t="shared" si="23"/>
        <v>0.514335742154054</v>
      </c>
      <c r="AG69" s="106">
        <f t="shared" si="39"/>
        <v>0.00214278417082301</v>
      </c>
      <c r="AH69" s="106">
        <f t="shared" si="40"/>
        <v>-0.00440962610059016</v>
      </c>
      <c r="AI69" s="107">
        <f t="shared" si="24"/>
        <v>-0.00226684192976715</v>
      </c>
      <c r="AJ69" s="105">
        <f t="shared" si="25"/>
        <v>0.413333333333333</v>
      </c>
      <c r="AK69" s="106">
        <f t="shared" si="26"/>
        <v>0.698382504043503</v>
      </c>
      <c r="AL69" s="106">
        <f t="shared" si="27"/>
        <v>0.134333333333333</v>
      </c>
      <c r="AM69" s="106">
        <f t="shared" si="41"/>
        <v>0</v>
      </c>
      <c r="AN69" s="107">
        <f t="shared" si="28"/>
        <v>0.134333333333333</v>
      </c>
      <c r="AO69" s="105">
        <f t="shared" si="42"/>
        <v>0.00264541255657162</v>
      </c>
      <c r="AP69" s="106">
        <f t="shared" si="16"/>
        <v>0.055944</v>
      </c>
      <c r="AQ69" s="107">
        <f t="shared" si="29"/>
        <v>0.0099</v>
      </c>
      <c r="AR69" s="105">
        <f t="shared" si="30"/>
        <v>0.200555903960138</v>
      </c>
      <c r="AS69" s="106">
        <f t="shared" si="31"/>
        <v>1.52933333333333</v>
      </c>
      <c r="AT69" s="107">
        <f t="shared" si="32"/>
        <v>88.4064309068758</v>
      </c>
    </row>
    <row r="70" spans="17:46">
      <c r="Q70">
        <v>63</v>
      </c>
      <c r="R70" s="105">
        <f t="shared" si="0"/>
        <v>3.7</v>
      </c>
      <c r="S70" s="106">
        <f t="shared" si="34"/>
        <v>0.42</v>
      </c>
      <c r="T70" s="106">
        <f t="shared" si="2"/>
        <v>3</v>
      </c>
      <c r="U70" s="107">
        <f t="shared" si="35"/>
        <v>0.518</v>
      </c>
      <c r="V70" s="105">
        <f t="shared" si="36"/>
        <v>2</v>
      </c>
      <c r="W70" s="106">
        <f t="shared" si="37"/>
        <v>0.552238805970149</v>
      </c>
      <c r="X70" s="107">
        <f t="shared" si="38"/>
        <v>0.447761194029851</v>
      </c>
      <c r="Y70" s="105">
        <f t="shared" si="18"/>
        <v>0.236673773987207</v>
      </c>
      <c r="Z70" s="106">
        <f t="shared" si="33"/>
        <v>1.17467377398721</v>
      </c>
      <c r="AA70" s="106">
        <f t="shared" si="19"/>
        <v>0.522486241867776</v>
      </c>
      <c r="AB70" s="106">
        <v>0</v>
      </c>
      <c r="AC70" s="106">
        <f t="shared" si="20"/>
        <v>0.00272991872941112</v>
      </c>
      <c r="AD70" s="107">
        <f t="shared" si="21"/>
        <v>0.00272991872941112</v>
      </c>
      <c r="AE70" s="105">
        <f t="shared" si="22"/>
        <v>0.120145074626866</v>
      </c>
      <c r="AF70" s="106">
        <f t="shared" si="23"/>
        <v>0.522486241867776</v>
      </c>
      <c r="AG70" s="106">
        <f t="shared" si="39"/>
        <v>0.00221123417082301</v>
      </c>
      <c r="AH70" s="106">
        <f t="shared" si="40"/>
        <v>-0.00448074910221258</v>
      </c>
      <c r="AI70" s="107">
        <f t="shared" si="24"/>
        <v>-0.00226951493138957</v>
      </c>
      <c r="AJ70" s="105">
        <f t="shared" si="25"/>
        <v>0.42</v>
      </c>
      <c r="AK70" s="106">
        <f t="shared" si="26"/>
        <v>0.708324328624533</v>
      </c>
      <c r="AL70" s="106">
        <f t="shared" si="27"/>
        <v>0.1365</v>
      </c>
      <c r="AM70" s="106">
        <f t="shared" si="41"/>
        <v>0</v>
      </c>
      <c r="AN70" s="107">
        <f t="shared" si="28"/>
        <v>0.1365</v>
      </c>
      <c r="AO70" s="105">
        <f t="shared" si="42"/>
        <v>0.00272991872941112</v>
      </c>
      <c r="AP70" s="106">
        <f t="shared" si="16"/>
        <v>0.055944</v>
      </c>
      <c r="AQ70" s="107">
        <f t="shared" si="29"/>
        <v>0.0099</v>
      </c>
      <c r="AR70" s="105">
        <f t="shared" si="30"/>
        <v>0.202804403798022</v>
      </c>
      <c r="AS70" s="106">
        <f t="shared" si="31"/>
        <v>1.554</v>
      </c>
      <c r="AT70" s="107">
        <f t="shared" si="32"/>
        <v>88.4560624188111</v>
      </c>
    </row>
    <row r="71" spans="17:46">
      <c r="Q71">
        <v>64</v>
      </c>
      <c r="R71" s="105">
        <f t="shared" ref="R71:R134" si="43">VOUT</f>
        <v>3.7</v>
      </c>
      <c r="S71" s="106">
        <f t="shared" ref="S71:S102" si="44">Q71*$O$12</f>
        <v>0.426666666666667</v>
      </c>
      <c r="T71" s="106">
        <f t="shared" ref="T71:T134" si="45">VIN_var</f>
        <v>3</v>
      </c>
      <c r="U71" s="107">
        <f t="shared" ref="U71:U102" si="46">(R71*S71)/(T71*EFF_est)</f>
        <v>0.526222222222222</v>
      </c>
      <c r="V71" s="105">
        <f t="shared" ref="V71:V102" si="47">IF(S71&lt;((T71^2)*R71)/(2*Fsw*Lm*((T71+R71)^2)),1,2)</f>
        <v>2</v>
      </c>
      <c r="W71" s="106">
        <f t="shared" ref="W71:W102" si="48">CHOOSE(V71,SQRT(2*Lm*R71*S71*Fsw)/T71,R71/(T71+R71))</f>
        <v>0.552238805970149</v>
      </c>
      <c r="X71" s="107">
        <f t="shared" ref="X71:X102" si="49">CHOOSE(V71,(Lm*Z71*Fsw)/(R71),1-W71)</f>
        <v>0.447761194029851</v>
      </c>
      <c r="Y71" s="105">
        <f t="shared" si="18"/>
        <v>0.236673773987207</v>
      </c>
      <c r="Z71" s="106">
        <f t="shared" si="33"/>
        <v>1.1895626628761</v>
      </c>
      <c r="AA71" s="106">
        <f t="shared" si="19"/>
        <v>0.530638954564783</v>
      </c>
      <c r="AB71" s="106">
        <v>0</v>
      </c>
      <c r="AC71" s="106">
        <f t="shared" si="20"/>
        <v>0.00281577700101606</v>
      </c>
      <c r="AD71" s="107">
        <f t="shared" si="21"/>
        <v>0.00281577700101606</v>
      </c>
      <c r="AE71" s="105">
        <f t="shared" si="22"/>
        <v>0.123989474847982</v>
      </c>
      <c r="AF71" s="106">
        <f t="shared" si="23"/>
        <v>0.530638954564783</v>
      </c>
      <c r="AG71" s="106">
        <f t="shared" ref="AG71:AG102" si="50">(AF71^2)*RDS_on</f>
        <v>0.00228077937082301</v>
      </c>
      <c r="AH71" s="106">
        <f t="shared" ref="AH71:AH102" si="51">(((R71+T71)*(U71+S71))/2)*Fsw*(tr_sw+tf_sw)</f>
        <v>-0.004551872103835</v>
      </c>
      <c r="AI71" s="107">
        <f t="shared" si="24"/>
        <v>-0.00227109273301199</v>
      </c>
      <c r="AJ71" s="105">
        <f t="shared" si="25"/>
        <v>0.426666666666667</v>
      </c>
      <c r="AK71" s="106">
        <f t="shared" si="26"/>
        <v>0.718266737088135</v>
      </c>
      <c r="AL71" s="106">
        <f t="shared" si="27"/>
        <v>0.138666666666667</v>
      </c>
      <c r="AM71" s="106">
        <f t="shared" ref="AM71:AM102" si="52">(R71+T71+Vd_rect)*Qrr*Fsw</f>
        <v>0</v>
      </c>
      <c r="AN71" s="107">
        <f t="shared" si="28"/>
        <v>0.138666666666667</v>
      </c>
      <c r="AO71" s="105">
        <f t="shared" ref="AO71:AO102" si="53">(AF71^2)*R_cs</f>
        <v>0.00281577700101606</v>
      </c>
      <c r="AP71" s="106">
        <f t="shared" ref="AP71:AP134" si="54">Qg_tot*Vcc*Fsw</f>
        <v>0.055944</v>
      </c>
      <c r="AQ71" s="107">
        <f t="shared" si="29"/>
        <v>0.0099</v>
      </c>
      <c r="AR71" s="105">
        <f t="shared" si="30"/>
        <v>0.205055350934671</v>
      </c>
      <c r="AS71" s="106">
        <f t="shared" si="31"/>
        <v>1.57866666666667</v>
      </c>
      <c r="AT71" s="107">
        <f t="shared" si="32"/>
        <v>88.5040746870177</v>
      </c>
    </row>
    <row r="72" spans="17:46">
      <c r="Q72">
        <v>65</v>
      </c>
      <c r="R72" s="105">
        <f t="shared" si="43"/>
        <v>3.7</v>
      </c>
      <c r="S72" s="106">
        <f t="shared" si="44"/>
        <v>0.433333333333333</v>
      </c>
      <c r="T72" s="106">
        <f t="shared" si="45"/>
        <v>3</v>
      </c>
      <c r="U72" s="107">
        <f t="shared" si="46"/>
        <v>0.534444444444444</v>
      </c>
      <c r="V72" s="105">
        <f t="shared" si="47"/>
        <v>2</v>
      </c>
      <c r="W72" s="106">
        <f t="shared" si="48"/>
        <v>0.552238805970149</v>
      </c>
      <c r="X72" s="107">
        <f t="shared" si="49"/>
        <v>0.447761194029851</v>
      </c>
      <c r="Y72" s="105">
        <f t="shared" ref="Y72:Y135" si="55">(T72*W72)/(Lm*Fsw)</f>
        <v>0.236673773987207</v>
      </c>
      <c r="Z72" s="106">
        <f t="shared" ref="Z72:Z135" si="56">CHOOSE(V72,Y72,U72+S72+(Y72))</f>
        <v>1.20445155176498</v>
      </c>
      <c r="AA72" s="106">
        <f t="shared" ref="AA72:AA135" si="57">CHOOSE(V72,Z72*SQRT((W72+X72)/3),SQRT((U72^2)+((Y72^2)/12)))</f>
        <v>0.538793779788374</v>
      </c>
      <c r="AB72" s="106">
        <v>0</v>
      </c>
      <c r="AC72" s="106">
        <f t="shared" ref="AC72:AC135" si="58">(AA72^2)*Rdcr</f>
        <v>0.00290298737138643</v>
      </c>
      <c r="AD72" s="107">
        <f t="shared" ref="AD72:AD135" si="59">AB72+AC72</f>
        <v>0.00290298737138643</v>
      </c>
      <c r="AE72" s="105">
        <f t="shared" ref="AE72:AE135" si="60">U72*S72*W72</f>
        <v>0.127894416804865</v>
      </c>
      <c r="AF72" s="106">
        <f t="shared" ref="AF72:AF135" si="61">AA72</f>
        <v>0.538793779788374</v>
      </c>
      <c r="AG72" s="106">
        <f t="shared" si="50"/>
        <v>0.00235141977082301</v>
      </c>
      <c r="AH72" s="106">
        <f t="shared" si="51"/>
        <v>-0.00462299510545742</v>
      </c>
      <c r="AI72" s="107">
        <f t="shared" ref="AI72:AI135" si="62">AG72+AH72</f>
        <v>-0.00227157533463441</v>
      </c>
      <c r="AJ72" s="105">
        <f t="shared" ref="AJ72:AJ135" si="63">S72</f>
        <v>0.433333333333333</v>
      </c>
      <c r="AK72" s="106">
        <f t="shared" ref="AK72:AK135" si="64">CHOOSE(V72,Z72*SQRT(X72/3),SQRT(X72*((Z72^2)+((Y72^2)/3)-(Y72*Z72))))</f>
        <v>0.728209705518675</v>
      </c>
      <c r="AL72" s="106">
        <f t="shared" ref="AL72:AL135" si="65">S72*Vd_rect</f>
        <v>0.140833333333333</v>
      </c>
      <c r="AM72" s="106">
        <f t="shared" si="52"/>
        <v>0</v>
      </c>
      <c r="AN72" s="107">
        <f t="shared" ref="AN72:AN135" si="66">AL72+AM72</f>
        <v>0.140833333333333</v>
      </c>
      <c r="AO72" s="105">
        <f t="shared" si="53"/>
        <v>0.00290298737138643</v>
      </c>
      <c r="AP72" s="106">
        <f t="shared" si="54"/>
        <v>0.055944</v>
      </c>
      <c r="AQ72" s="107">
        <f t="shared" ref="AQ72:AQ135" si="67">IQ*T72</f>
        <v>0.0099</v>
      </c>
      <c r="AR72" s="105">
        <f t="shared" ref="AR72:AR135" si="68">AO72+AN72+AI72+AP72+AQ72</f>
        <v>0.207308745370085</v>
      </c>
      <c r="AS72" s="106">
        <f t="shared" ref="AS72:AS135" si="69">R72*S72</f>
        <v>1.60333333333333</v>
      </c>
      <c r="AT72" s="107">
        <f t="shared" ref="AT72:AT135" si="70">(AS72/(AS72+AR72))*100</f>
        <v>88.5505397334775</v>
      </c>
    </row>
    <row r="73" spans="17:46">
      <c r="Q73">
        <v>66</v>
      </c>
      <c r="R73" s="105">
        <f t="shared" si="43"/>
        <v>3.7</v>
      </c>
      <c r="S73" s="106">
        <f t="shared" si="44"/>
        <v>0.44</v>
      </c>
      <c r="T73" s="106">
        <f t="shared" si="45"/>
        <v>3</v>
      </c>
      <c r="U73" s="107">
        <f t="shared" si="46"/>
        <v>0.542666666666667</v>
      </c>
      <c r="V73" s="105">
        <f t="shared" si="47"/>
        <v>2</v>
      </c>
      <c r="W73" s="106">
        <f t="shared" si="48"/>
        <v>0.552238805970149</v>
      </c>
      <c r="X73" s="107">
        <f t="shared" si="49"/>
        <v>0.447761194029851</v>
      </c>
      <c r="Y73" s="105">
        <f t="shared" si="55"/>
        <v>0.236673773987207</v>
      </c>
      <c r="Z73" s="106">
        <f t="shared" si="56"/>
        <v>1.21934044065387</v>
      </c>
      <c r="AA73" s="106">
        <f t="shared" si="57"/>
        <v>0.54695062304766</v>
      </c>
      <c r="AB73" s="106">
        <v>0</v>
      </c>
      <c r="AC73" s="106">
        <f t="shared" si="58"/>
        <v>0.00299154984052224</v>
      </c>
      <c r="AD73" s="107">
        <f t="shared" si="59"/>
        <v>0.00299154984052224</v>
      </c>
      <c r="AE73" s="105">
        <f t="shared" si="60"/>
        <v>0.131859900497512</v>
      </c>
      <c r="AF73" s="106">
        <f t="shared" si="61"/>
        <v>0.54695062304766</v>
      </c>
      <c r="AG73" s="106">
        <f t="shared" si="50"/>
        <v>0.00242315537082301</v>
      </c>
      <c r="AH73" s="106">
        <f t="shared" si="51"/>
        <v>-0.00469411810707984</v>
      </c>
      <c r="AI73" s="107">
        <f t="shared" si="62"/>
        <v>-0.00227096273625683</v>
      </c>
      <c r="AJ73" s="105">
        <f t="shared" si="63"/>
        <v>0.44</v>
      </c>
      <c r="AK73" s="106">
        <f t="shared" si="64"/>
        <v>0.738153211287787</v>
      </c>
      <c r="AL73" s="106">
        <f t="shared" si="65"/>
        <v>0.143</v>
      </c>
      <c r="AM73" s="106">
        <f t="shared" si="52"/>
        <v>0</v>
      </c>
      <c r="AN73" s="107">
        <f t="shared" si="66"/>
        <v>0.143</v>
      </c>
      <c r="AO73" s="105">
        <f t="shared" si="53"/>
        <v>0.00299154984052224</v>
      </c>
      <c r="AP73" s="106">
        <f t="shared" si="54"/>
        <v>0.055944</v>
      </c>
      <c r="AQ73" s="107">
        <f t="shared" si="67"/>
        <v>0.0099</v>
      </c>
      <c r="AR73" s="105">
        <f t="shared" si="68"/>
        <v>0.209564587104265</v>
      </c>
      <c r="AS73" s="106">
        <f t="shared" si="69"/>
        <v>1.628</v>
      </c>
      <c r="AT73" s="107">
        <f t="shared" si="70"/>
        <v>88.5955253722804</v>
      </c>
    </row>
    <row r="74" spans="17:46">
      <c r="Q74">
        <v>67</v>
      </c>
      <c r="R74" s="105">
        <f t="shared" si="43"/>
        <v>3.7</v>
      </c>
      <c r="S74" s="106">
        <f t="shared" si="44"/>
        <v>0.446666666666667</v>
      </c>
      <c r="T74" s="106">
        <f t="shared" si="45"/>
        <v>3</v>
      </c>
      <c r="U74" s="107">
        <f t="shared" si="46"/>
        <v>0.550888888888889</v>
      </c>
      <c r="V74" s="105">
        <f t="shared" si="47"/>
        <v>2</v>
      </c>
      <c r="W74" s="106">
        <f t="shared" si="48"/>
        <v>0.552238805970149</v>
      </c>
      <c r="X74" s="107">
        <f t="shared" si="49"/>
        <v>0.447761194029851</v>
      </c>
      <c r="Y74" s="105">
        <f t="shared" si="55"/>
        <v>0.236673773987207</v>
      </c>
      <c r="Z74" s="106">
        <f t="shared" si="56"/>
        <v>1.23422932954276</v>
      </c>
      <c r="AA74" s="106">
        <f t="shared" si="57"/>
        <v>0.55510939538288</v>
      </c>
      <c r="AB74" s="106">
        <v>0</v>
      </c>
      <c r="AC74" s="106">
        <f t="shared" si="58"/>
        <v>0.00308146440842347</v>
      </c>
      <c r="AD74" s="107">
        <f t="shared" si="59"/>
        <v>0.00308146440842347</v>
      </c>
      <c r="AE74" s="105">
        <f t="shared" si="60"/>
        <v>0.135885925925926</v>
      </c>
      <c r="AF74" s="106">
        <f t="shared" si="61"/>
        <v>0.55510939538288</v>
      </c>
      <c r="AG74" s="106">
        <f t="shared" si="50"/>
        <v>0.00249598617082301</v>
      </c>
      <c r="AH74" s="106">
        <f t="shared" si="51"/>
        <v>-0.00476524110870227</v>
      </c>
      <c r="AI74" s="107">
        <f t="shared" si="62"/>
        <v>-0.00226925493787925</v>
      </c>
      <c r="AJ74" s="105">
        <f t="shared" si="63"/>
        <v>0.446666666666667</v>
      </c>
      <c r="AK74" s="106">
        <f t="shared" si="64"/>
        <v>0.748097232968997</v>
      </c>
      <c r="AL74" s="106">
        <f t="shared" si="65"/>
        <v>0.145166666666667</v>
      </c>
      <c r="AM74" s="106">
        <f t="shared" si="52"/>
        <v>0</v>
      </c>
      <c r="AN74" s="107">
        <f t="shared" si="66"/>
        <v>0.145166666666667</v>
      </c>
      <c r="AO74" s="105">
        <f t="shared" si="53"/>
        <v>0.00308146440842347</v>
      </c>
      <c r="AP74" s="106">
        <f t="shared" si="54"/>
        <v>0.055944</v>
      </c>
      <c r="AQ74" s="107">
        <f t="shared" si="67"/>
        <v>0.0099</v>
      </c>
      <c r="AR74" s="105">
        <f t="shared" si="68"/>
        <v>0.211822876137211</v>
      </c>
      <c r="AS74" s="106">
        <f t="shared" si="69"/>
        <v>1.65266666666667</v>
      </c>
      <c r="AT74" s="107">
        <f t="shared" si="70"/>
        <v>88.6390955125087</v>
      </c>
    </row>
    <row r="75" spans="17:46">
      <c r="Q75">
        <v>68</v>
      </c>
      <c r="R75" s="105">
        <f t="shared" si="43"/>
        <v>3.7</v>
      </c>
      <c r="S75" s="106">
        <f t="shared" si="44"/>
        <v>0.453333333333333</v>
      </c>
      <c r="T75" s="106">
        <f t="shared" si="45"/>
        <v>3</v>
      </c>
      <c r="U75" s="107">
        <f t="shared" si="46"/>
        <v>0.559111111111111</v>
      </c>
      <c r="V75" s="105">
        <f t="shared" si="47"/>
        <v>2</v>
      </c>
      <c r="W75" s="106">
        <f t="shared" si="48"/>
        <v>0.552238805970149</v>
      </c>
      <c r="X75" s="107">
        <f t="shared" si="49"/>
        <v>0.447761194029851</v>
      </c>
      <c r="Y75" s="105">
        <f t="shared" si="55"/>
        <v>0.236673773987207</v>
      </c>
      <c r="Z75" s="106">
        <f t="shared" si="56"/>
        <v>1.24911821843165</v>
      </c>
      <c r="AA75" s="106">
        <f t="shared" si="57"/>
        <v>0.563270012968038</v>
      </c>
      <c r="AB75" s="106">
        <v>0</v>
      </c>
      <c r="AC75" s="106">
        <f t="shared" si="58"/>
        <v>0.00317273107509014</v>
      </c>
      <c r="AD75" s="107">
        <f t="shared" si="59"/>
        <v>0.00317273107509014</v>
      </c>
      <c r="AE75" s="105">
        <f t="shared" si="60"/>
        <v>0.139972493090105</v>
      </c>
      <c r="AF75" s="106">
        <f t="shared" si="61"/>
        <v>0.563270012968038</v>
      </c>
      <c r="AG75" s="106">
        <f t="shared" si="50"/>
        <v>0.00256991217082301</v>
      </c>
      <c r="AH75" s="106">
        <f t="shared" si="51"/>
        <v>-0.00483636411032469</v>
      </c>
      <c r="AI75" s="107">
        <f t="shared" si="62"/>
        <v>-0.00226645193950168</v>
      </c>
      <c r="AJ75" s="105">
        <f t="shared" si="63"/>
        <v>0.453333333333333</v>
      </c>
      <c r="AK75" s="106">
        <f t="shared" si="64"/>
        <v>0.758041750259037</v>
      </c>
      <c r="AL75" s="106">
        <f t="shared" si="65"/>
        <v>0.147333333333333</v>
      </c>
      <c r="AM75" s="106">
        <f t="shared" si="52"/>
        <v>0</v>
      </c>
      <c r="AN75" s="107">
        <f t="shared" si="66"/>
        <v>0.147333333333333</v>
      </c>
      <c r="AO75" s="105">
        <f t="shared" si="53"/>
        <v>0.00317273107509014</v>
      </c>
      <c r="AP75" s="106">
        <f t="shared" si="54"/>
        <v>0.055944</v>
      </c>
      <c r="AQ75" s="107">
        <f t="shared" si="67"/>
        <v>0.0099</v>
      </c>
      <c r="AR75" s="105">
        <f t="shared" si="68"/>
        <v>0.214083612468922</v>
      </c>
      <c r="AS75" s="106">
        <f t="shared" si="69"/>
        <v>1.67733333333333</v>
      </c>
      <c r="AT75" s="107">
        <f t="shared" si="70"/>
        <v>88.6813104353299</v>
      </c>
    </row>
    <row r="76" spans="17:46">
      <c r="Q76">
        <v>69</v>
      </c>
      <c r="R76" s="105">
        <f t="shared" si="43"/>
        <v>3.7</v>
      </c>
      <c r="S76" s="106">
        <f t="shared" si="44"/>
        <v>0.46</v>
      </c>
      <c r="T76" s="106">
        <f t="shared" si="45"/>
        <v>3</v>
      </c>
      <c r="U76" s="107">
        <f t="shared" si="46"/>
        <v>0.567333333333333</v>
      </c>
      <c r="V76" s="105">
        <f t="shared" si="47"/>
        <v>2</v>
      </c>
      <c r="W76" s="106">
        <f t="shared" si="48"/>
        <v>0.552238805970149</v>
      </c>
      <c r="X76" s="107">
        <f t="shared" si="49"/>
        <v>0.447761194029851</v>
      </c>
      <c r="Y76" s="105">
        <f t="shared" si="55"/>
        <v>0.236673773987207</v>
      </c>
      <c r="Z76" s="106">
        <f t="shared" si="56"/>
        <v>1.26400710732054</v>
      </c>
      <c r="AA76" s="106">
        <f t="shared" si="57"/>
        <v>0.571432396747177</v>
      </c>
      <c r="AB76" s="106">
        <v>0</v>
      </c>
      <c r="AC76" s="106">
        <f t="shared" si="58"/>
        <v>0.00326534984052223</v>
      </c>
      <c r="AD76" s="107">
        <f t="shared" si="59"/>
        <v>0.00326534984052223</v>
      </c>
      <c r="AE76" s="105">
        <f t="shared" si="60"/>
        <v>0.14411960199005</v>
      </c>
      <c r="AF76" s="106">
        <f t="shared" si="61"/>
        <v>0.571432396747177</v>
      </c>
      <c r="AG76" s="106">
        <f t="shared" si="50"/>
        <v>0.00264493337082301</v>
      </c>
      <c r="AH76" s="106">
        <f t="shared" si="51"/>
        <v>-0.00490748711194711</v>
      </c>
      <c r="AI76" s="107">
        <f t="shared" si="62"/>
        <v>-0.0022625537411241</v>
      </c>
      <c r="AJ76" s="105">
        <f t="shared" si="63"/>
        <v>0.46</v>
      </c>
      <c r="AK76" s="106">
        <f t="shared" si="64"/>
        <v>0.767986743905269</v>
      </c>
      <c r="AL76" s="106">
        <f t="shared" si="65"/>
        <v>0.1495</v>
      </c>
      <c r="AM76" s="106">
        <f t="shared" si="52"/>
        <v>0</v>
      </c>
      <c r="AN76" s="107">
        <f t="shared" si="66"/>
        <v>0.1495</v>
      </c>
      <c r="AO76" s="105">
        <f t="shared" si="53"/>
        <v>0.00326534984052223</v>
      </c>
      <c r="AP76" s="106">
        <f t="shared" si="54"/>
        <v>0.055944</v>
      </c>
      <c r="AQ76" s="107">
        <f t="shared" si="67"/>
        <v>0.0099</v>
      </c>
      <c r="AR76" s="105">
        <f t="shared" si="68"/>
        <v>0.216346796099398</v>
      </c>
      <c r="AS76" s="106">
        <f t="shared" si="69"/>
        <v>1.702</v>
      </c>
      <c r="AT76" s="107">
        <f t="shared" si="70"/>
        <v>88.7222270478258</v>
      </c>
    </row>
    <row r="77" spans="17:46">
      <c r="Q77">
        <v>70</v>
      </c>
      <c r="R77" s="105">
        <f t="shared" si="43"/>
        <v>3.7</v>
      </c>
      <c r="S77" s="106">
        <f t="shared" si="44"/>
        <v>0.466666666666667</v>
      </c>
      <c r="T77" s="106">
        <f t="shared" si="45"/>
        <v>3</v>
      </c>
      <c r="U77" s="107">
        <f t="shared" si="46"/>
        <v>0.575555555555556</v>
      </c>
      <c r="V77" s="105">
        <f t="shared" si="47"/>
        <v>2</v>
      </c>
      <c r="W77" s="106">
        <f t="shared" si="48"/>
        <v>0.552238805970149</v>
      </c>
      <c r="X77" s="107">
        <f t="shared" si="49"/>
        <v>0.447761194029851</v>
      </c>
      <c r="Y77" s="105">
        <f t="shared" si="55"/>
        <v>0.236673773987207</v>
      </c>
      <c r="Z77" s="106">
        <f t="shared" si="56"/>
        <v>1.27889599620943</v>
      </c>
      <c r="AA77" s="106">
        <f t="shared" si="57"/>
        <v>0.579596472101044</v>
      </c>
      <c r="AB77" s="106">
        <v>0</v>
      </c>
      <c r="AC77" s="106">
        <f t="shared" si="58"/>
        <v>0.00335932070471977</v>
      </c>
      <c r="AD77" s="107">
        <f t="shared" si="59"/>
        <v>0.00335932070471977</v>
      </c>
      <c r="AE77" s="105">
        <f t="shared" si="60"/>
        <v>0.14832725262576</v>
      </c>
      <c r="AF77" s="106">
        <f t="shared" si="61"/>
        <v>0.579596472101044</v>
      </c>
      <c r="AG77" s="106">
        <f t="shared" si="50"/>
        <v>0.00272104977082301</v>
      </c>
      <c r="AH77" s="106">
        <f t="shared" si="51"/>
        <v>-0.00497861011356953</v>
      </c>
      <c r="AI77" s="107">
        <f t="shared" si="62"/>
        <v>-0.00225756034274652</v>
      </c>
      <c r="AJ77" s="105">
        <f t="shared" si="63"/>
        <v>0.466666666666667</v>
      </c>
      <c r="AK77" s="106">
        <f t="shared" si="64"/>
        <v>0.777932195638648</v>
      </c>
      <c r="AL77" s="106">
        <f t="shared" si="65"/>
        <v>0.151666666666667</v>
      </c>
      <c r="AM77" s="106">
        <f t="shared" si="52"/>
        <v>0</v>
      </c>
      <c r="AN77" s="107">
        <f t="shared" si="66"/>
        <v>0.151666666666667</v>
      </c>
      <c r="AO77" s="105">
        <f t="shared" si="53"/>
        <v>0.00335932070471977</v>
      </c>
      <c r="AP77" s="106">
        <f t="shared" si="54"/>
        <v>0.055944</v>
      </c>
      <c r="AQ77" s="107">
        <f t="shared" si="67"/>
        <v>0.0099</v>
      </c>
      <c r="AR77" s="105">
        <f t="shared" si="68"/>
        <v>0.21861242702864</v>
      </c>
      <c r="AS77" s="106">
        <f t="shared" si="69"/>
        <v>1.72666666666667</v>
      </c>
      <c r="AT77" s="107">
        <f t="shared" si="70"/>
        <v>88.7618991158046</v>
      </c>
    </row>
    <row r="78" spans="17:46">
      <c r="Q78">
        <v>71</v>
      </c>
      <c r="R78" s="105">
        <f t="shared" si="43"/>
        <v>3.7</v>
      </c>
      <c r="S78" s="106">
        <f t="shared" si="44"/>
        <v>0.473333333333333</v>
      </c>
      <c r="T78" s="106">
        <f t="shared" si="45"/>
        <v>3</v>
      </c>
      <c r="U78" s="107">
        <f t="shared" si="46"/>
        <v>0.583777777777778</v>
      </c>
      <c r="V78" s="105">
        <f t="shared" si="47"/>
        <v>2</v>
      </c>
      <c r="W78" s="106">
        <f t="shared" si="48"/>
        <v>0.552238805970149</v>
      </c>
      <c r="X78" s="107">
        <f t="shared" si="49"/>
        <v>0.447761194029851</v>
      </c>
      <c r="Y78" s="105">
        <f t="shared" si="55"/>
        <v>0.236673773987207</v>
      </c>
      <c r="Z78" s="106">
        <f t="shared" si="56"/>
        <v>1.29378488509832</v>
      </c>
      <c r="AA78" s="106">
        <f t="shared" si="57"/>
        <v>0.587762168541216</v>
      </c>
      <c r="AB78" s="106">
        <v>0</v>
      </c>
      <c r="AC78" s="106">
        <f t="shared" si="58"/>
        <v>0.00345464366768273</v>
      </c>
      <c r="AD78" s="107">
        <f t="shared" si="59"/>
        <v>0.00345464366768273</v>
      </c>
      <c r="AE78" s="105">
        <f t="shared" si="60"/>
        <v>0.152595444997236</v>
      </c>
      <c r="AF78" s="106">
        <f t="shared" si="61"/>
        <v>0.587762168541216</v>
      </c>
      <c r="AG78" s="106">
        <f t="shared" si="50"/>
        <v>0.00279826137082301</v>
      </c>
      <c r="AH78" s="106">
        <f t="shared" si="51"/>
        <v>-0.00504973311519195</v>
      </c>
      <c r="AI78" s="107">
        <f t="shared" si="62"/>
        <v>-0.00225147174436894</v>
      </c>
      <c r="AJ78" s="105">
        <f t="shared" si="63"/>
        <v>0.473333333333333</v>
      </c>
      <c r="AK78" s="106">
        <f t="shared" si="64"/>
        <v>0.787878088111758</v>
      </c>
      <c r="AL78" s="106">
        <f t="shared" si="65"/>
        <v>0.153833333333333</v>
      </c>
      <c r="AM78" s="106">
        <f t="shared" si="52"/>
        <v>0</v>
      </c>
      <c r="AN78" s="107">
        <f t="shared" si="66"/>
        <v>0.153833333333333</v>
      </c>
      <c r="AO78" s="105">
        <f t="shared" si="53"/>
        <v>0.00345464366768273</v>
      </c>
      <c r="AP78" s="106">
        <f t="shared" si="54"/>
        <v>0.055944</v>
      </c>
      <c r="AQ78" s="107">
        <f t="shared" si="67"/>
        <v>0.0099</v>
      </c>
      <c r="AR78" s="105">
        <f t="shared" si="68"/>
        <v>0.220880505256647</v>
      </c>
      <c r="AS78" s="106">
        <f t="shared" si="69"/>
        <v>1.75133333333333</v>
      </c>
      <c r="AT78" s="107">
        <f t="shared" si="70"/>
        <v>88.8003774775983</v>
      </c>
    </row>
    <row r="79" spans="17:46">
      <c r="Q79">
        <v>72</v>
      </c>
      <c r="R79" s="105">
        <f t="shared" si="43"/>
        <v>3.7</v>
      </c>
      <c r="S79" s="106">
        <f t="shared" si="44"/>
        <v>0.48</v>
      </c>
      <c r="T79" s="106">
        <f t="shared" si="45"/>
        <v>3</v>
      </c>
      <c r="U79" s="107">
        <f t="shared" si="46"/>
        <v>0.592</v>
      </c>
      <c r="V79" s="105">
        <f t="shared" si="47"/>
        <v>2</v>
      </c>
      <c r="W79" s="106">
        <f t="shared" si="48"/>
        <v>0.552238805970149</v>
      </c>
      <c r="X79" s="107">
        <f t="shared" si="49"/>
        <v>0.447761194029851</v>
      </c>
      <c r="Y79" s="105">
        <f t="shared" si="55"/>
        <v>0.236673773987207</v>
      </c>
      <c r="Z79" s="106">
        <f t="shared" si="56"/>
        <v>1.30867377398721</v>
      </c>
      <c r="AA79" s="106">
        <f t="shared" si="57"/>
        <v>0.595929419429107</v>
      </c>
      <c r="AB79" s="106">
        <v>0</v>
      </c>
      <c r="AC79" s="106">
        <f t="shared" si="58"/>
        <v>0.00355131872941112</v>
      </c>
      <c r="AD79" s="107">
        <f t="shared" si="59"/>
        <v>0.00355131872941112</v>
      </c>
      <c r="AE79" s="105">
        <f t="shared" si="60"/>
        <v>0.156924179104478</v>
      </c>
      <c r="AF79" s="106">
        <f t="shared" si="61"/>
        <v>0.595929419429107</v>
      </c>
      <c r="AG79" s="106">
        <f t="shared" si="50"/>
        <v>0.00287656817082301</v>
      </c>
      <c r="AH79" s="106">
        <f t="shared" si="51"/>
        <v>-0.00512085611681438</v>
      </c>
      <c r="AI79" s="107">
        <f t="shared" si="62"/>
        <v>-0.00224428794599136</v>
      </c>
      <c r="AJ79" s="105">
        <f t="shared" si="63"/>
        <v>0.48</v>
      </c>
      <c r="AK79" s="106">
        <f t="shared" si="64"/>
        <v>0.797824404841459</v>
      </c>
      <c r="AL79" s="106">
        <f t="shared" si="65"/>
        <v>0.156</v>
      </c>
      <c r="AM79" s="106">
        <f t="shared" si="52"/>
        <v>0</v>
      </c>
      <c r="AN79" s="107">
        <f t="shared" si="66"/>
        <v>0.156</v>
      </c>
      <c r="AO79" s="105">
        <f t="shared" si="53"/>
        <v>0.00355131872941112</v>
      </c>
      <c r="AP79" s="106">
        <f t="shared" si="54"/>
        <v>0.055944</v>
      </c>
      <c r="AQ79" s="107">
        <f t="shared" si="67"/>
        <v>0.0099</v>
      </c>
      <c r="AR79" s="105">
        <f t="shared" si="68"/>
        <v>0.22315103078342</v>
      </c>
      <c r="AS79" s="106">
        <f t="shared" si="69"/>
        <v>1.776</v>
      </c>
      <c r="AT79" s="107">
        <f t="shared" si="70"/>
        <v>88.8377102406329</v>
      </c>
    </row>
    <row r="80" spans="17:46">
      <c r="Q80">
        <v>73</v>
      </c>
      <c r="R80" s="105">
        <f t="shared" si="43"/>
        <v>3.7</v>
      </c>
      <c r="S80" s="106">
        <f t="shared" si="44"/>
        <v>0.486666666666667</v>
      </c>
      <c r="T80" s="106">
        <f t="shared" si="45"/>
        <v>3</v>
      </c>
      <c r="U80" s="107">
        <f t="shared" si="46"/>
        <v>0.600222222222222</v>
      </c>
      <c r="V80" s="105">
        <f t="shared" si="47"/>
        <v>2</v>
      </c>
      <c r="W80" s="106">
        <f t="shared" si="48"/>
        <v>0.552238805970149</v>
      </c>
      <c r="X80" s="107">
        <f t="shared" si="49"/>
        <v>0.447761194029851</v>
      </c>
      <c r="Y80" s="105">
        <f t="shared" si="55"/>
        <v>0.236673773987207</v>
      </c>
      <c r="Z80" s="106">
        <f t="shared" si="56"/>
        <v>1.3235626628761</v>
      </c>
      <c r="AA80" s="106">
        <f t="shared" si="57"/>
        <v>0.604098161717527</v>
      </c>
      <c r="AB80" s="106">
        <v>0</v>
      </c>
      <c r="AC80" s="106">
        <f t="shared" si="58"/>
        <v>0.00364934588990495</v>
      </c>
      <c r="AD80" s="107">
        <f t="shared" si="59"/>
        <v>0.00364934588990495</v>
      </c>
      <c r="AE80" s="105">
        <f t="shared" si="60"/>
        <v>0.161313454947485</v>
      </c>
      <c r="AF80" s="106">
        <f t="shared" si="61"/>
        <v>0.604098161717527</v>
      </c>
      <c r="AG80" s="106">
        <f t="shared" si="50"/>
        <v>0.00295597017082301</v>
      </c>
      <c r="AH80" s="106">
        <f t="shared" si="51"/>
        <v>-0.0051919791184368</v>
      </c>
      <c r="AI80" s="107">
        <f t="shared" si="62"/>
        <v>-0.00223600894761379</v>
      </c>
      <c r="AJ80" s="105">
        <f t="shared" si="63"/>
        <v>0.486666666666667</v>
      </c>
      <c r="AK80" s="106">
        <f t="shared" si="64"/>
        <v>0.807771130155773</v>
      </c>
      <c r="AL80" s="106">
        <f t="shared" si="65"/>
        <v>0.158166666666667</v>
      </c>
      <c r="AM80" s="106">
        <f t="shared" si="52"/>
        <v>0</v>
      </c>
      <c r="AN80" s="107">
        <f t="shared" si="66"/>
        <v>0.158166666666667</v>
      </c>
      <c r="AO80" s="105">
        <f t="shared" si="53"/>
        <v>0.00364934588990495</v>
      </c>
      <c r="AP80" s="106">
        <f t="shared" si="54"/>
        <v>0.055944</v>
      </c>
      <c r="AQ80" s="107">
        <f t="shared" si="67"/>
        <v>0.0099</v>
      </c>
      <c r="AR80" s="105">
        <f t="shared" si="68"/>
        <v>0.225424003608958</v>
      </c>
      <c r="AS80" s="106">
        <f t="shared" si="69"/>
        <v>1.80066666666667</v>
      </c>
      <c r="AT80" s="107">
        <f t="shared" si="70"/>
        <v>88.8739429623704</v>
      </c>
    </row>
    <row r="81" spans="17:46">
      <c r="Q81">
        <v>74</v>
      </c>
      <c r="R81" s="105">
        <f t="shared" si="43"/>
        <v>3.7</v>
      </c>
      <c r="S81" s="106">
        <f t="shared" si="44"/>
        <v>0.493333333333333</v>
      </c>
      <c r="T81" s="106">
        <f t="shared" si="45"/>
        <v>3</v>
      </c>
      <c r="U81" s="107">
        <f t="shared" si="46"/>
        <v>0.608444444444444</v>
      </c>
      <c r="V81" s="105">
        <f t="shared" si="47"/>
        <v>2</v>
      </c>
      <c r="W81" s="106">
        <f t="shared" si="48"/>
        <v>0.552238805970149</v>
      </c>
      <c r="X81" s="107">
        <f t="shared" si="49"/>
        <v>0.447761194029851</v>
      </c>
      <c r="Y81" s="105">
        <f t="shared" si="55"/>
        <v>0.236673773987207</v>
      </c>
      <c r="Z81" s="106">
        <f t="shared" si="56"/>
        <v>1.33845155176498</v>
      </c>
      <c r="AA81" s="106">
        <f t="shared" si="57"/>
        <v>0.612268335712718</v>
      </c>
      <c r="AB81" s="106">
        <v>0</v>
      </c>
      <c r="AC81" s="106">
        <f t="shared" si="58"/>
        <v>0.00374872514916421</v>
      </c>
      <c r="AD81" s="107">
        <f t="shared" si="59"/>
        <v>0.00374872514916421</v>
      </c>
      <c r="AE81" s="105">
        <f t="shared" si="60"/>
        <v>0.165763272526258</v>
      </c>
      <c r="AF81" s="106">
        <f t="shared" si="61"/>
        <v>0.612268335712718</v>
      </c>
      <c r="AG81" s="106">
        <f t="shared" si="50"/>
        <v>0.00303646737082301</v>
      </c>
      <c r="AH81" s="106">
        <f t="shared" si="51"/>
        <v>-0.00526310212005922</v>
      </c>
      <c r="AI81" s="107">
        <f t="shared" si="62"/>
        <v>-0.00222663474923621</v>
      </c>
      <c r="AJ81" s="105">
        <f t="shared" si="63"/>
        <v>0.493333333333333</v>
      </c>
      <c r="AK81" s="106">
        <f t="shared" si="64"/>
        <v>0.817718249144631</v>
      </c>
      <c r="AL81" s="106">
        <f t="shared" si="65"/>
        <v>0.160333333333333</v>
      </c>
      <c r="AM81" s="106">
        <f t="shared" si="52"/>
        <v>0</v>
      </c>
      <c r="AN81" s="107">
        <f t="shared" si="66"/>
        <v>0.160333333333333</v>
      </c>
      <c r="AO81" s="105">
        <f t="shared" si="53"/>
        <v>0.00374872514916421</v>
      </c>
      <c r="AP81" s="106">
        <f t="shared" si="54"/>
        <v>0.055944</v>
      </c>
      <c r="AQ81" s="107">
        <f t="shared" si="67"/>
        <v>0.0099</v>
      </c>
      <c r="AR81" s="105">
        <f t="shared" si="68"/>
        <v>0.227699423733261</v>
      </c>
      <c r="AS81" s="106">
        <f t="shared" si="69"/>
        <v>1.82533333333333</v>
      </c>
      <c r="AT81" s="107">
        <f t="shared" si="70"/>
        <v>88.9091188170518</v>
      </c>
    </row>
    <row r="82" spans="17:46">
      <c r="Q82">
        <v>75</v>
      </c>
      <c r="R82" s="105">
        <f t="shared" si="43"/>
        <v>3.7</v>
      </c>
      <c r="S82" s="106">
        <f t="shared" si="44"/>
        <v>0.5</v>
      </c>
      <c r="T82" s="106">
        <f t="shared" si="45"/>
        <v>3</v>
      </c>
      <c r="U82" s="107">
        <f t="shared" si="46"/>
        <v>0.616666666666667</v>
      </c>
      <c r="V82" s="105">
        <f t="shared" si="47"/>
        <v>2</v>
      </c>
      <c r="W82" s="106">
        <f t="shared" si="48"/>
        <v>0.552238805970149</v>
      </c>
      <c r="X82" s="107">
        <f t="shared" si="49"/>
        <v>0.447761194029851</v>
      </c>
      <c r="Y82" s="105">
        <f t="shared" si="55"/>
        <v>0.236673773987207</v>
      </c>
      <c r="Z82" s="106">
        <f t="shared" si="56"/>
        <v>1.35334044065387</v>
      </c>
      <c r="AA82" s="106">
        <f t="shared" si="57"/>
        <v>0.620439884855004</v>
      </c>
      <c r="AB82" s="106">
        <v>0</v>
      </c>
      <c r="AC82" s="106">
        <f t="shared" si="58"/>
        <v>0.0038494565071889</v>
      </c>
      <c r="AD82" s="107">
        <f t="shared" si="59"/>
        <v>0.0038494565071889</v>
      </c>
      <c r="AE82" s="105">
        <f t="shared" si="60"/>
        <v>0.170273631840796</v>
      </c>
      <c r="AF82" s="106">
        <f t="shared" si="61"/>
        <v>0.620439884855004</v>
      </c>
      <c r="AG82" s="106">
        <f t="shared" si="50"/>
        <v>0.00311805977082301</v>
      </c>
      <c r="AH82" s="106">
        <f t="shared" si="51"/>
        <v>-0.00533422512168164</v>
      </c>
      <c r="AI82" s="107">
        <f t="shared" si="62"/>
        <v>-0.00221616535085863</v>
      </c>
      <c r="AJ82" s="105">
        <f t="shared" si="63"/>
        <v>0.5</v>
      </c>
      <c r="AK82" s="106">
        <f t="shared" si="64"/>
        <v>0.827665747614159</v>
      </c>
      <c r="AL82" s="106">
        <f t="shared" si="65"/>
        <v>0.1625</v>
      </c>
      <c r="AM82" s="106">
        <f t="shared" si="52"/>
        <v>0</v>
      </c>
      <c r="AN82" s="107">
        <f t="shared" si="66"/>
        <v>0.1625</v>
      </c>
      <c r="AO82" s="105">
        <f t="shared" si="53"/>
        <v>0.0038494565071889</v>
      </c>
      <c r="AP82" s="106">
        <f t="shared" si="54"/>
        <v>0.055944</v>
      </c>
      <c r="AQ82" s="107">
        <f t="shared" si="67"/>
        <v>0.0099</v>
      </c>
      <c r="AR82" s="105">
        <f t="shared" si="68"/>
        <v>0.22997729115633</v>
      </c>
      <c r="AS82" s="106">
        <f t="shared" si="69"/>
        <v>1.85</v>
      </c>
      <c r="AT82" s="107">
        <f t="shared" si="70"/>
        <v>88.9432787495253</v>
      </c>
    </row>
    <row r="83" spans="17:46">
      <c r="Q83">
        <v>76</v>
      </c>
      <c r="R83" s="105">
        <f t="shared" si="43"/>
        <v>3.7</v>
      </c>
      <c r="S83" s="106">
        <f t="shared" si="44"/>
        <v>0.506666666666667</v>
      </c>
      <c r="T83" s="106">
        <f t="shared" si="45"/>
        <v>3</v>
      </c>
      <c r="U83" s="107">
        <f t="shared" si="46"/>
        <v>0.624888888888889</v>
      </c>
      <c r="V83" s="105">
        <f t="shared" si="47"/>
        <v>2</v>
      </c>
      <c r="W83" s="106">
        <f t="shared" si="48"/>
        <v>0.552238805970149</v>
      </c>
      <c r="X83" s="107">
        <f t="shared" si="49"/>
        <v>0.447761194029851</v>
      </c>
      <c r="Y83" s="105">
        <f t="shared" si="55"/>
        <v>0.236673773987207</v>
      </c>
      <c r="Z83" s="106">
        <f t="shared" si="56"/>
        <v>1.36822932954276</v>
      </c>
      <c r="AA83" s="106">
        <f t="shared" si="57"/>
        <v>0.628612755516385</v>
      </c>
      <c r="AB83" s="106">
        <v>0</v>
      </c>
      <c r="AC83" s="106">
        <f t="shared" si="58"/>
        <v>0.00395153996397902</v>
      </c>
      <c r="AD83" s="107">
        <f t="shared" si="59"/>
        <v>0.00395153996397902</v>
      </c>
      <c r="AE83" s="105">
        <f t="shared" si="60"/>
        <v>0.1748445328911</v>
      </c>
      <c r="AF83" s="106">
        <f t="shared" si="61"/>
        <v>0.628612755516385</v>
      </c>
      <c r="AG83" s="106">
        <f t="shared" si="50"/>
        <v>0.00320074737082301</v>
      </c>
      <c r="AH83" s="106">
        <f t="shared" si="51"/>
        <v>-0.00540534812330406</v>
      </c>
      <c r="AI83" s="107">
        <f t="shared" si="62"/>
        <v>-0.00220460075248105</v>
      </c>
      <c r="AJ83" s="105">
        <f t="shared" si="63"/>
        <v>0.506666666666667</v>
      </c>
      <c r="AK83" s="106">
        <f t="shared" si="64"/>
        <v>0.837613612044222</v>
      </c>
      <c r="AL83" s="106">
        <f t="shared" si="65"/>
        <v>0.164666666666667</v>
      </c>
      <c r="AM83" s="106">
        <f t="shared" si="52"/>
        <v>0</v>
      </c>
      <c r="AN83" s="107">
        <f t="shared" si="66"/>
        <v>0.164666666666667</v>
      </c>
      <c r="AO83" s="105">
        <f t="shared" si="53"/>
        <v>0.00395153996397902</v>
      </c>
      <c r="AP83" s="106">
        <f t="shared" si="54"/>
        <v>0.055944</v>
      </c>
      <c r="AQ83" s="107">
        <f t="shared" si="67"/>
        <v>0.0099</v>
      </c>
      <c r="AR83" s="105">
        <f t="shared" si="68"/>
        <v>0.232257605878165</v>
      </c>
      <c r="AS83" s="106">
        <f t="shared" si="69"/>
        <v>1.87466666666667</v>
      </c>
      <c r="AT83" s="107">
        <f t="shared" si="70"/>
        <v>88.9764616173113</v>
      </c>
    </row>
    <row r="84" spans="17:46">
      <c r="Q84">
        <v>77</v>
      </c>
      <c r="R84" s="105">
        <f t="shared" si="43"/>
        <v>3.7</v>
      </c>
      <c r="S84" s="106">
        <f t="shared" si="44"/>
        <v>0.513333333333333</v>
      </c>
      <c r="T84" s="106">
        <f t="shared" si="45"/>
        <v>3</v>
      </c>
      <c r="U84" s="107">
        <f t="shared" si="46"/>
        <v>0.633111111111111</v>
      </c>
      <c r="V84" s="105">
        <f t="shared" si="47"/>
        <v>2</v>
      </c>
      <c r="W84" s="106">
        <f t="shared" si="48"/>
        <v>0.552238805970149</v>
      </c>
      <c r="X84" s="107">
        <f t="shared" si="49"/>
        <v>0.447761194029851</v>
      </c>
      <c r="Y84" s="105">
        <f t="shared" si="55"/>
        <v>0.236673773987207</v>
      </c>
      <c r="Z84" s="106">
        <f t="shared" si="56"/>
        <v>1.38311821843165</v>
      </c>
      <c r="AA84" s="106">
        <f t="shared" si="57"/>
        <v>0.636786896813572</v>
      </c>
      <c r="AB84" s="106">
        <v>0</v>
      </c>
      <c r="AC84" s="106">
        <f t="shared" si="58"/>
        <v>0.00405497551953458</v>
      </c>
      <c r="AD84" s="107">
        <f t="shared" si="59"/>
        <v>0.00405497551953458</v>
      </c>
      <c r="AE84" s="105">
        <f t="shared" si="60"/>
        <v>0.17947597567717</v>
      </c>
      <c r="AF84" s="106">
        <f t="shared" si="61"/>
        <v>0.636786896813572</v>
      </c>
      <c r="AG84" s="106">
        <f t="shared" si="50"/>
        <v>0.00328453017082301</v>
      </c>
      <c r="AH84" s="106">
        <f t="shared" si="51"/>
        <v>-0.00547647112492648</v>
      </c>
      <c r="AI84" s="107">
        <f t="shared" si="62"/>
        <v>-0.00219194095410347</v>
      </c>
      <c r="AJ84" s="105">
        <f t="shared" si="63"/>
        <v>0.513333333333333</v>
      </c>
      <c r="AK84" s="106">
        <f t="shared" si="64"/>
        <v>0.847561829548942</v>
      </c>
      <c r="AL84" s="106">
        <f t="shared" si="65"/>
        <v>0.166833333333333</v>
      </c>
      <c r="AM84" s="106">
        <f t="shared" si="52"/>
        <v>0</v>
      </c>
      <c r="AN84" s="107">
        <f t="shared" si="66"/>
        <v>0.166833333333333</v>
      </c>
      <c r="AO84" s="105">
        <f t="shared" si="53"/>
        <v>0.00405497551953458</v>
      </c>
      <c r="AP84" s="106">
        <f t="shared" si="54"/>
        <v>0.055944</v>
      </c>
      <c r="AQ84" s="107">
        <f t="shared" si="67"/>
        <v>0.0099</v>
      </c>
      <c r="AR84" s="105">
        <f t="shared" si="68"/>
        <v>0.234540367898764</v>
      </c>
      <c r="AS84" s="106">
        <f t="shared" si="69"/>
        <v>1.89933333333333</v>
      </c>
      <c r="AT84" s="107">
        <f t="shared" si="70"/>
        <v>89.0087043219409</v>
      </c>
    </row>
    <row r="85" spans="17:46">
      <c r="Q85">
        <v>78</v>
      </c>
      <c r="R85" s="105">
        <f t="shared" si="43"/>
        <v>3.7</v>
      </c>
      <c r="S85" s="106">
        <f t="shared" si="44"/>
        <v>0.52</v>
      </c>
      <c r="T85" s="106">
        <f t="shared" si="45"/>
        <v>3</v>
      </c>
      <c r="U85" s="107">
        <f t="shared" si="46"/>
        <v>0.641333333333333</v>
      </c>
      <c r="V85" s="105">
        <f t="shared" si="47"/>
        <v>2</v>
      </c>
      <c r="W85" s="106">
        <f t="shared" si="48"/>
        <v>0.552238805970149</v>
      </c>
      <c r="X85" s="107">
        <f t="shared" si="49"/>
        <v>0.447761194029851</v>
      </c>
      <c r="Y85" s="105">
        <f t="shared" si="55"/>
        <v>0.236673773987207</v>
      </c>
      <c r="Z85" s="106">
        <f t="shared" si="56"/>
        <v>1.39800710732054</v>
      </c>
      <c r="AA85" s="106">
        <f t="shared" si="57"/>
        <v>0.644962260435102</v>
      </c>
      <c r="AB85" s="106">
        <v>0</v>
      </c>
      <c r="AC85" s="106">
        <f t="shared" si="58"/>
        <v>0.00415976317385557</v>
      </c>
      <c r="AD85" s="107">
        <f t="shared" si="59"/>
        <v>0.00415976317385557</v>
      </c>
      <c r="AE85" s="105">
        <f t="shared" si="60"/>
        <v>0.184167960199005</v>
      </c>
      <c r="AF85" s="106">
        <f t="shared" si="61"/>
        <v>0.644962260435102</v>
      </c>
      <c r="AG85" s="106">
        <f t="shared" si="50"/>
        <v>0.00336940817082301</v>
      </c>
      <c r="AH85" s="106">
        <f t="shared" si="51"/>
        <v>-0.00554759412654891</v>
      </c>
      <c r="AI85" s="107">
        <f t="shared" si="62"/>
        <v>-0.0021781859557259</v>
      </c>
      <c r="AJ85" s="105">
        <f t="shared" si="63"/>
        <v>0.52</v>
      </c>
      <c r="AK85" s="106">
        <f t="shared" si="64"/>
        <v>0.857510387839966</v>
      </c>
      <c r="AL85" s="106">
        <f t="shared" si="65"/>
        <v>0.169</v>
      </c>
      <c r="AM85" s="106">
        <f t="shared" si="52"/>
        <v>0</v>
      </c>
      <c r="AN85" s="107">
        <f t="shared" si="66"/>
        <v>0.169</v>
      </c>
      <c r="AO85" s="105">
        <f t="shared" si="53"/>
        <v>0.00415976317385557</v>
      </c>
      <c r="AP85" s="106">
        <f t="shared" si="54"/>
        <v>0.055944</v>
      </c>
      <c r="AQ85" s="107">
        <f t="shared" si="67"/>
        <v>0.0099</v>
      </c>
      <c r="AR85" s="105">
        <f t="shared" si="68"/>
        <v>0.23682557721813</v>
      </c>
      <c r="AS85" s="106">
        <f t="shared" si="69"/>
        <v>1.924</v>
      </c>
      <c r="AT85" s="107">
        <f t="shared" si="70"/>
        <v>89.0400419305004</v>
      </c>
    </row>
    <row r="86" spans="17:46">
      <c r="Q86">
        <v>79</v>
      </c>
      <c r="R86" s="105">
        <f t="shared" si="43"/>
        <v>3.7</v>
      </c>
      <c r="S86" s="106">
        <f t="shared" si="44"/>
        <v>0.526666666666667</v>
      </c>
      <c r="T86" s="106">
        <f t="shared" si="45"/>
        <v>3</v>
      </c>
      <c r="U86" s="107">
        <f t="shared" si="46"/>
        <v>0.649555555555556</v>
      </c>
      <c r="V86" s="105">
        <f t="shared" si="47"/>
        <v>2</v>
      </c>
      <c r="W86" s="106">
        <f t="shared" si="48"/>
        <v>0.552238805970149</v>
      </c>
      <c r="X86" s="107">
        <f t="shared" si="49"/>
        <v>0.447761194029851</v>
      </c>
      <c r="Y86" s="105">
        <f t="shared" si="55"/>
        <v>0.236673773987207</v>
      </c>
      <c r="Z86" s="106">
        <f t="shared" si="56"/>
        <v>1.41289599620943</v>
      </c>
      <c r="AA86" s="106">
        <f t="shared" si="57"/>
        <v>0.653138800481336</v>
      </c>
      <c r="AB86" s="106">
        <v>0</v>
      </c>
      <c r="AC86" s="106">
        <f t="shared" si="58"/>
        <v>0.00426590292694199</v>
      </c>
      <c r="AD86" s="107">
        <f t="shared" si="59"/>
        <v>0.00426590292694199</v>
      </c>
      <c r="AE86" s="105">
        <f t="shared" si="60"/>
        <v>0.188920486456606</v>
      </c>
      <c r="AF86" s="106">
        <f t="shared" si="61"/>
        <v>0.653138800481336</v>
      </c>
      <c r="AG86" s="106">
        <f t="shared" si="50"/>
        <v>0.00345538137082301</v>
      </c>
      <c r="AH86" s="106">
        <f t="shared" si="51"/>
        <v>-0.00561871712817133</v>
      </c>
      <c r="AI86" s="107">
        <f t="shared" si="62"/>
        <v>-0.00216333575734832</v>
      </c>
      <c r="AJ86" s="105">
        <f t="shared" si="63"/>
        <v>0.526666666666667</v>
      </c>
      <c r="AK86" s="106">
        <f t="shared" si="64"/>
        <v>0.867459275192252</v>
      </c>
      <c r="AL86" s="106">
        <f t="shared" si="65"/>
        <v>0.171166666666667</v>
      </c>
      <c r="AM86" s="106">
        <f t="shared" si="52"/>
        <v>0</v>
      </c>
      <c r="AN86" s="107">
        <f t="shared" si="66"/>
        <v>0.171166666666667</v>
      </c>
      <c r="AO86" s="105">
        <f t="shared" si="53"/>
        <v>0.00426590292694199</v>
      </c>
      <c r="AP86" s="106">
        <f t="shared" si="54"/>
        <v>0.055944</v>
      </c>
      <c r="AQ86" s="107">
        <f t="shared" si="67"/>
        <v>0.0099</v>
      </c>
      <c r="AR86" s="105">
        <f t="shared" si="68"/>
        <v>0.23911323383626</v>
      </c>
      <c r="AS86" s="106">
        <f t="shared" si="69"/>
        <v>1.94866666666667</v>
      </c>
      <c r="AT86" s="107">
        <f t="shared" si="70"/>
        <v>89.0705077882244</v>
      </c>
    </row>
    <row r="87" spans="17:46">
      <c r="Q87">
        <v>80</v>
      </c>
      <c r="R87" s="105">
        <f t="shared" si="43"/>
        <v>3.7</v>
      </c>
      <c r="S87" s="106">
        <f t="shared" si="44"/>
        <v>0.533333333333333</v>
      </c>
      <c r="T87" s="106">
        <f t="shared" si="45"/>
        <v>3</v>
      </c>
      <c r="U87" s="107">
        <f t="shared" si="46"/>
        <v>0.657777777777778</v>
      </c>
      <c r="V87" s="105">
        <f t="shared" si="47"/>
        <v>2</v>
      </c>
      <c r="W87" s="106">
        <f t="shared" si="48"/>
        <v>0.552238805970149</v>
      </c>
      <c r="X87" s="107">
        <f t="shared" si="49"/>
        <v>0.447761194029851</v>
      </c>
      <c r="Y87" s="105">
        <f t="shared" si="55"/>
        <v>0.236673773987207</v>
      </c>
      <c r="Z87" s="106">
        <f t="shared" si="56"/>
        <v>1.42778488509832</v>
      </c>
      <c r="AA87" s="106">
        <f t="shared" si="57"/>
        <v>0.661316473316206</v>
      </c>
      <c r="AB87" s="106">
        <v>0</v>
      </c>
      <c r="AC87" s="106">
        <f t="shared" si="58"/>
        <v>0.00437339477879384</v>
      </c>
      <c r="AD87" s="107">
        <f t="shared" si="59"/>
        <v>0.00437339477879384</v>
      </c>
      <c r="AE87" s="105">
        <f t="shared" si="60"/>
        <v>0.193733554449972</v>
      </c>
      <c r="AF87" s="106">
        <f t="shared" si="61"/>
        <v>0.661316473316206</v>
      </c>
      <c r="AG87" s="106">
        <f t="shared" si="50"/>
        <v>0.00354244977082301</v>
      </c>
      <c r="AH87" s="106">
        <f t="shared" si="51"/>
        <v>-0.00568984012979375</v>
      </c>
      <c r="AI87" s="107">
        <f t="shared" si="62"/>
        <v>-0.00214739035897074</v>
      </c>
      <c r="AJ87" s="105">
        <f t="shared" si="63"/>
        <v>0.533333333333333</v>
      </c>
      <c r="AK87" s="106">
        <f t="shared" si="64"/>
        <v>0.877408480412176</v>
      </c>
      <c r="AL87" s="106">
        <f t="shared" si="65"/>
        <v>0.173333333333333</v>
      </c>
      <c r="AM87" s="106">
        <f t="shared" si="52"/>
        <v>0</v>
      </c>
      <c r="AN87" s="107">
        <f t="shared" si="66"/>
        <v>0.173333333333333</v>
      </c>
      <c r="AO87" s="105">
        <f t="shared" si="53"/>
        <v>0.00437339477879384</v>
      </c>
      <c r="AP87" s="106">
        <f t="shared" si="54"/>
        <v>0.055944</v>
      </c>
      <c r="AQ87" s="107">
        <f t="shared" si="67"/>
        <v>0.0099</v>
      </c>
      <c r="AR87" s="105">
        <f t="shared" si="68"/>
        <v>0.241403337753156</v>
      </c>
      <c r="AS87" s="106">
        <f t="shared" si="69"/>
        <v>1.97333333333333</v>
      </c>
      <c r="AT87" s="107">
        <f t="shared" si="70"/>
        <v>89.1001336228957</v>
      </c>
    </row>
    <row r="88" spans="17:46">
      <c r="Q88">
        <v>81</v>
      </c>
      <c r="R88" s="105">
        <f t="shared" si="43"/>
        <v>3.7</v>
      </c>
      <c r="S88" s="106">
        <f t="shared" si="44"/>
        <v>0.54</v>
      </c>
      <c r="T88" s="106">
        <f t="shared" si="45"/>
        <v>3</v>
      </c>
      <c r="U88" s="107">
        <f t="shared" si="46"/>
        <v>0.666</v>
      </c>
      <c r="V88" s="105">
        <f t="shared" si="47"/>
        <v>2</v>
      </c>
      <c r="W88" s="106">
        <f t="shared" si="48"/>
        <v>0.552238805970149</v>
      </c>
      <c r="X88" s="107">
        <f t="shared" si="49"/>
        <v>0.447761194029851</v>
      </c>
      <c r="Y88" s="105">
        <f t="shared" si="55"/>
        <v>0.236673773987207</v>
      </c>
      <c r="Z88" s="106">
        <f t="shared" si="56"/>
        <v>1.44267377398721</v>
      </c>
      <c r="AA88" s="106">
        <f t="shared" si="57"/>
        <v>0.669495237429746</v>
      </c>
      <c r="AB88" s="106">
        <v>0</v>
      </c>
      <c r="AC88" s="106">
        <f t="shared" si="58"/>
        <v>0.00448223872941112</v>
      </c>
      <c r="AD88" s="107">
        <f t="shared" si="59"/>
        <v>0.00448223872941112</v>
      </c>
      <c r="AE88" s="105">
        <f t="shared" si="60"/>
        <v>0.198607164179105</v>
      </c>
      <c r="AF88" s="106">
        <f t="shared" si="61"/>
        <v>0.669495237429746</v>
      </c>
      <c r="AG88" s="106">
        <f t="shared" si="50"/>
        <v>0.00363061337082301</v>
      </c>
      <c r="AH88" s="106">
        <f t="shared" si="51"/>
        <v>-0.00576096313141617</v>
      </c>
      <c r="AI88" s="107">
        <f t="shared" si="62"/>
        <v>-0.00213034976059316</v>
      </c>
      <c r="AJ88" s="105">
        <f t="shared" si="63"/>
        <v>0.54</v>
      </c>
      <c r="AK88" s="106">
        <f t="shared" si="64"/>
        <v>0.887357992807784</v>
      </c>
      <c r="AL88" s="106">
        <f t="shared" si="65"/>
        <v>0.1755</v>
      </c>
      <c r="AM88" s="106">
        <f t="shared" si="52"/>
        <v>0</v>
      </c>
      <c r="AN88" s="107">
        <f t="shared" si="66"/>
        <v>0.1755</v>
      </c>
      <c r="AO88" s="105">
        <f t="shared" si="53"/>
        <v>0.00448223872941112</v>
      </c>
      <c r="AP88" s="106">
        <f t="shared" si="54"/>
        <v>0.055944</v>
      </c>
      <c r="AQ88" s="107">
        <f t="shared" si="67"/>
        <v>0.0099</v>
      </c>
      <c r="AR88" s="105">
        <f t="shared" si="68"/>
        <v>0.243695888968818</v>
      </c>
      <c r="AS88" s="106">
        <f t="shared" si="69"/>
        <v>1.998</v>
      </c>
      <c r="AT88" s="107">
        <f t="shared" si="70"/>
        <v>89.1289496417412</v>
      </c>
    </row>
    <row r="89" spans="17:46">
      <c r="Q89">
        <v>82</v>
      </c>
      <c r="R89" s="105">
        <f t="shared" si="43"/>
        <v>3.7</v>
      </c>
      <c r="S89" s="106">
        <f t="shared" si="44"/>
        <v>0.546666666666667</v>
      </c>
      <c r="T89" s="106">
        <f t="shared" si="45"/>
        <v>3</v>
      </c>
      <c r="U89" s="107">
        <f t="shared" si="46"/>
        <v>0.674222222222222</v>
      </c>
      <c r="V89" s="105">
        <f t="shared" si="47"/>
        <v>2</v>
      </c>
      <c r="W89" s="106">
        <f t="shared" si="48"/>
        <v>0.552238805970149</v>
      </c>
      <c r="X89" s="107">
        <f t="shared" si="49"/>
        <v>0.447761194029851</v>
      </c>
      <c r="Y89" s="105">
        <f t="shared" si="55"/>
        <v>0.236673773987207</v>
      </c>
      <c r="Z89" s="106">
        <f t="shared" si="56"/>
        <v>1.4575626628761</v>
      </c>
      <c r="AA89" s="106">
        <f t="shared" si="57"/>
        <v>0.677675053310496</v>
      </c>
      <c r="AB89" s="106">
        <v>0</v>
      </c>
      <c r="AC89" s="106">
        <f t="shared" si="58"/>
        <v>0.00459243477879384</v>
      </c>
      <c r="AD89" s="107">
        <f t="shared" si="59"/>
        <v>0.00459243477879384</v>
      </c>
      <c r="AE89" s="105">
        <f t="shared" si="60"/>
        <v>0.203541315644002</v>
      </c>
      <c r="AF89" s="106">
        <f t="shared" si="61"/>
        <v>0.677675053310496</v>
      </c>
      <c r="AG89" s="106">
        <f t="shared" si="50"/>
        <v>0.00371987217082301</v>
      </c>
      <c r="AH89" s="106">
        <f t="shared" si="51"/>
        <v>-0.00583208613303859</v>
      </c>
      <c r="AI89" s="107">
        <f t="shared" si="62"/>
        <v>-0.00211221396221558</v>
      </c>
      <c r="AJ89" s="105">
        <f t="shared" si="63"/>
        <v>0.546666666666667</v>
      </c>
      <c r="AK89" s="106">
        <f t="shared" si="64"/>
        <v>0.897307802161017</v>
      </c>
      <c r="AL89" s="106">
        <f t="shared" si="65"/>
        <v>0.177666666666667</v>
      </c>
      <c r="AM89" s="106">
        <f t="shared" si="52"/>
        <v>0</v>
      </c>
      <c r="AN89" s="107">
        <f t="shared" si="66"/>
        <v>0.177666666666667</v>
      </c>
      <c r="AO89" s="105">
        <f t="shared" si="53"/>
        <v>0.00459243477879384</v>
      </c>
      <c r="AP89" s="106">
        <f t="shared" si="54"/>
        <v>0.055944</v>
      </c>
      <c r="AQ89" s="107">
        <f t="shared" si="67"/>
        <v>0.0099</v>
      </c>
      <c r="AR89" s="105">
        <f t="shared" si="68"/>
        <v>0.245990887483245</v>
      </c>
      <c r="AS89" s="106">
        <f t="shared" si="69"/>
        <v>2.02266666666667</v>
      </c>
      <c r="AT89" s="107">
        <f t="shared" si="70"/>
        <v>89.1569846214441</v>
      </c>
    </row>
    <row r="90" spans="17:46">
      <c r="Q90">
        <v>83</v>
      </c>
      <c r="R90" s="105">
        <f t="shared" si="43"/>
        <v>3.7</v>
      </c>
      <c r="S90" s="106">
        <f t="shared" si="44"/>
        <v>0.553333333333333</v>
      </c>
      <c r="T90" s="106">
        <f t="shared" si="45"/>
        <v>3</v>
      </c>
      <c r="U90" s="107">
        <f t="shared" si="46"/>
        <v>0.682444444444445</v>
      </c>
      <c r="V90" s="105">
        <f t="shared" si="47"/>
        <v>2</v>
      </c>
      <c r="W90" s="106">
        <f t="shared" si="48"/>
        <v>0.552238805970149</v>
      </c>
      <c r="X90" s="107">
        <f t="shared" si="49"/>
        <v>0.447761194029851</v>
      </c>
      <c r="Y90" s="105">
        <f t="shared" si="55"/>
        <v>0.236673773987207</v>
      </c>
      <c r="Z90" s="106">
        <f t="shared" si="56"/>
        <v>1.47245155176498</v>
      </c>
      <c r="AA90" s="106">
        <f t="shared" si="57"/>
        <v>0.685855883326956</v>
      </c>
      <c r="AB90" s="106">
        <v>0</v>
      </c>
      <c r="AC90" s="106">
        <f t="shared" si="58"/>
        <v>0.00470398292694199</v>
      </c>
      <c r="AD90" s="107">
        <f t="shared" si="59"/>
        <v>0.00470398292694199</v>
      </c>
      <c r="AE90" s="105">
        <f t="shared" si="60"/>
        <v>0.208536008844666</v>
      </c>
      <c r="AF90" s="106">
        <f t="shared" si="61"/>
        <v>0.685855883326956</v>
      </c>
      <c r="AG90" s="106">
        <f t="shared" si="50"/>
        <v>0.00381022617082301</v>
      </c>
      <c r="AH90" s="106">
        <f t="shared" si="51"/>
        <v>-0.00590320913466102</v>
      </c>
      <c r="AI90" s="107">
        <f t="shared" si="62"/>
        <v>-0.00209298296383801</v>
      </c>
      <c r="AJ90" s="105">
        <f t="shared" si="63"/>
        <v>0.553333333333333</v>
      </c>
      <c r="AK90" s="106">
        <f t="shared" si="64"/>
        <v>0.907257898701756</v>
      </c>
      <c r="AL90" s="106">
        <f t="shared" si="65"/>
        <v>0.179833333333333</v>
      </c>
      <c r="AM90" s="106">
        <f t="shared" si="52"/>
        <v>0</v>
      </c>
      <c r="AN90" s="107">
        <f t="shared" si="66"/>
        <v>0.179833333333333</v>
      </c>
      <c r="AO90" s="105">
        <f t="shared" si="53"/>
        <v>0.00470398292694199</v>
      </c>
      <c r="AP90" s="106">
        <f t="shared" si="54"/>
        <v>0.055944</v>
      </c>
      <c r="AQ90" s="107">
        <f t="shared" si="67"/>
        <v>0.0099</v>
      </c>
      <c r="AR90" s="105">
        <f t="shared" si="68"/>
        <v>0.248288333296437</v>
      </c>
      <c r="AS90" s="106">
        <f t="shared" si="69"/>
        <v>2.04733333333333</v>
      </c>
      <c r="AT90" s="107">
        <f t="shared" si="70"/>
        <v>89.1842659918369</v>
      </c>
    </row>
    <row r="91" spans="17:46">
      <c r="Q91">
        <v>84</v>
      </c>
      <c r="R91" s="105">
        <f t="shared" si="43"/>
        <v>3.7</v>
      </c>
      <c r="S91" s="106">
        <f t="shared" si="44"/>
        <v>0.56</v>
      </c>
      <c r="T91" s="106">
        <f t="shared" si="45"/>
        <v>3</v>
      </c>
      <c r="U91" s="107">
        <f t="shared" si="46"/>
        <v>0.690666666666667</v>
      </c>
      <c r="V91" s="105">
        <f t="shared" si="47"/>
        <v>2</v>
      </c>
      <c r="W91" s="106">
        <f t="shared" si="48"/>
        <v>0.552238805970149</v>
      </c>
      <c r="X91" s="107">
        <f t="shared" si="49"/>
        <v>0.447761194029851</v>
      </c>
      <c r="Y91" s="105">
        <f t="shared" si="55"/>
        <v>0.236673773987207</v>
      </c>
      <c r="Z91" s="106">
        <f t="shared" si="56"/>
        <v>1.48734044065387</v>
      </c>
      <c r="AA91" s="106">
        <f t="shared" si="57"/>
        <v>0.694037691617362</v>
      </c>
      <c r="AB91" s="106">
        <v>0</v>
      </c>
      <c r="AC91" s="106">
        <f t="shared" si="58"/>
        <v>0.00481688317385557</v>
      </c>
      <c r="AD91" s="107">
        <f t="shared" si="59"/>
        <v>0.00481688317385557</v>
      </c>
      <c r="AE91" s="105">
        <f t="shared" si="60"/>
        <v>0.213591243781095</v>
      </c>
      <c r="AF91" s="106">
        <f t="shared" si="61"/>
        <v>0.694037691617362</v>
      </c>
      <c r="AG91" s="106">
        <f t="shared" si="50"/>
        <v>0.00390167537082301</v>
      </c>
      <c r="AH91" s="106">
        <f t="shared" si="51"/>
        <v>-0.00597433213628344</v>
      </c>
      <c r="AI91" s="107">
        <f t="shared" si="62"/>
        <v>-0.00207265676546043</v>
      </c>
      <c r="AJ91" s="105">
        <f t="shared" si="63"/>
        <v>0.56</v>
      </c>
      <c r="AK91" s="106">
        <f t="shared" si="64"/>
        <v>0.917208273083566</v>
      </c>
      <c r="AL91" s="106">
        <f t="shared" si="65"/>
        <v>0.182</v>
      </c>
      <c r="AM91" s="106">
        <f t="shared" si="52"/>
        <v>0</v>
      </c>
      <c r="AN91" s="107">
        <f t="shared" si="66"/>
        <v>0.182</v>
      </c>
      <c r="AO91" s="105">
        <f t="shared" si="53"/>
        <v>0.00481688317385557</v>
      </c>
      <c r="AP91" s="106">
        <f t="shared" si="54"/>
        <v>0.055944</v>
      </c>
      <c r="AQ91" s="107">
        <f t="shared" si="67"/>
        <v>0.0099</v>
      </c>
      <c r="AR91" s="105">
        <f t="shared" si="68"/>
        <v>0.250588226408395</v>
      </c>
      <c r="AS91" s="106">
        <f t="shared" si="69"/>
        <v>2.072</v>
      </c>
      <c r="AT91" s="107">
        <f t="shared" si="70"/>
        <v>89.2108199137864</v>
      </c>
    </row>
    <row r="92" spans="17:46">
      <c r="Q92">
        <v>85</v>
      </c>
      <c r="R92" s="105">
        <f t="shared" si="43"/>
        <v>3.7</v>
      </c>
      <c r="S92" s="106">
        <f t="shared" si="44"/>
        <v>0.566666666666667</v>
      </c>
      <c r="T92" s="106">
        <f t="shared" si="45"/>
        <v>3</v>
      </c>
      <c r="U92" s="107">
        <f t="shared" si="46"/>
        <v>0.698888888888889</v>
      </c>
      <c r="V92" s="105">
        <f t="shared" si="47"/>
        <v>2</v>
      </c>
      <c r="W92" s="106">
        <f t="shared" si="48"/>
        <v>0.552238805970149</v>
      </c>
      <c r="X92" s="107">
        <f t="shared" si="49"/>
        <v>0.447761194029851</v>
      </c>
      <c r="Y92" s="105">
        <f t="shared" si="55"/>
        <v>0.236673773987207</v>
      </c>
      <c r="Z92" s="106">
        <f t="shared" si="56"/>
        <v>1.50222932954276</v>
      </c>
      <c r="AA92" s="106">
        <f t="shared" si="57"/>
        <v>0.702220443987113</v>
      </c>
      <c r="AB92" s="106">
        <v>0</v>
      </c>
      <c r="AC92" s="106">
        <f t="shared" si="58"/>
        <v>0.00493113551953458</v>
      </c>
      <c r="AD92" s="107">
        <f t="shared" si="59"/>
        <v>0.00493113551953458</v>
      </c>
      <c r="AE92" s="105">
        <f t="shared" si="60"/>
        <v>0.218707020453289</v>
      </c>
      <c r="AF92" s="106">
        <f t="shared" si="61"/>
        <v>0.702220443987113</v>
      </c>
      <c r="AG92" s="106">
        <f t="shared" si="50"/>
        <v>0.00399421977082301</v>
      </c>
      <c r="AH92" s="106">
        <f t="shared" si="51"/>
        <v>-0.00604545513790586</v>
      </c>
      <c r="AI92" s="107">
        <f t="shared" si="62"/>
        <v>-0.00205123536708285</v>
      </c>
      <c r="AJ92" s="105">
        <f t="shared" si="63"/>
        <v>0.566666666666667</v>
      </c>
      <c r="AK92" s="106">
        <f t="shared" si="64"/>
        <v>0.92715891636098</v>
      </c>
      <c r="AL92" s="106">
        <f t="shared" si="65"/>
        <v>0.184166666666667</v>
      </c>
      <c r="AM92" s="106">
        <f t="shared" si="52"/>
        <v>0</v>
      </c>
      <c r="AN92" s="107">
        <f t="shared" si="66"/>
        <v>0.184166666666667</v>
      </c>
      <c r="AO92" s="105">
        <f t="shared" si="53"/>
        <v>0.00493113551953458</v>
      </c>
      <c r="AP92" s="106">
        <f t="shared" si="54"/>
        <v>0.055944</v>
      </c>
      <c r="AQ92" s="107">
        <f t="shared" si="67"/>
        <v>0.0099</v>
      </c>
      <c r="AR92" s="105">
        <f t="shared" si="68"/>
        <v>0.252890566819118</v>
      </c>
      <c r="AS92" s="106">
        <f t="shared" si="69"/>
        <v>2.09666666666667</v>
      </c>
      <c r="AT92" s="107">
        <f t="shared" si="70"/>
        <v>89.2366713517367</v>
      </c>
    </row>
    <row r="93" spans="17:46">
      <c r="Q93">
        <v>86</v>
      </c>
      <c r="R93" s="105">
        <f t="shared" si="43"/>
        <v>3.7</v>
      </c>
      <c r="S93" s="106">
        <f t="shared" si="44"/>
        <v>0.573333333333333</v>
      </c>
      <c r="T93" s="106">
        <f t="shared" si="45"/>
        <v>3</v>
      </c>
      <c r="U93" s="107">
        <f t="shared" si="46"/>
        <v>0.707111111111111</v>
      </c>
      <c r="V93" s="105">
        <f t="shared" si="47"/>
        <v>2</v>
      </c>
      <c r="W93" s="106">
        <f t="shared" si="48"/>
        <v>0.552238805970149</v>
      </c>
      <c r="X93" s="107">
        <f t="shared" si="49"/>
        <v>0.447761194029851</v>
      </c>
      <c r="Y93" s="105">
        <f t="shared" si="55"/>
        <v>0.236673773987207</v>
      </c>
      <c r="Z93" s="106">
        <f t="shared" si="56"/>
        <v>1.51711821843165</v>
      </c>
      <c r="AA93" s="106">
        <f t="shared" si="57"/>
        <v>0.710404107813224</v>
      </c>
      <c r="AB93" s="106">
        <v>0</v>
      </c>
      <c r="AC93" s="106">
        <f t="shared" si="58"/>
        <v>0.00504673996397903</v>
      </c>
      <c r="AD93" s="107">
        <f t="shared" si="59"/>
        <v>0.00504673996397903</v>
      </c>
      <c r="AE93" s="105">
        <f t="shared" si="60"/>
        <v>0.223883338861249</v>
      </c>
      <c r="AF93" s="106">
        <f t="shared" si="61"/>
        <v>0.710404107813224</v>
      </c>
      <c r="AG93" s="106">
        <f t="shared" si="50"/>
        <v>0.00408785937082301</v>
      </c>
      <c r="AH93" s="106">
        <f t="shared" si="51"/>
        <v>-0.00611657813952828</v>
      </c>
      <c r="AI93" s="107">
        <f t="shared" si="62"/>
        <v>-0.00202871876870527</v>
      </c>
      <c r="AJ93" s="105">
        <f t="shared" si="63"/>
        <v>0.573333333333333</v>
      </c>
      <c r="AK93" s="106">
        <f t="shared" si="64"/>
        <v>0.937109819968244</v>
      </c>
      <c r="AL93" s="106">
        <f t="shared" si="65"/>
        <v>0.186333333333333</v>
      </c>
      <c r="AM93" s="106">
        <f t="shared" si="52"/>
        <v>0</v>
      </c>
      <c r="AN93" s="107">
        <f t="shared" si="66"/>
        <v>0.186333333333333</v>
      </c>
      <c r="AO93" s="105">
        <f t="shared" si="53"/>
        <v>0.00504673996397903</v>
      </c>
      <c r="AP93" s="106">
        <f t="shared" si="54"/>
        <v>0.055944</v>
      </c>
      <c r="AQ93" s="107">
        <f t="shared" si="67"/>
        <v>0.0099</v>
      </c>
      <c r="AR93" s="105">
        <f t="shared" si="68"/>
        <v>0.255195354528607</v>
      </c>
      <c r="AS93" s="106">
        <f t="shared" si="69"/>
        <v>2.12133333333333</v>
      </c>
      <c r="AT93" s="107">
        <f t="shared" si="70"/>
        <v>89.2618441413306</v>
      </c>
    </row>
    <row r="94" spans="17:46">
      <c r="Q94">
        <v>87</v>
      </c>
      <c r="R94" s="105">
        <f t="shared" si="43"/>
        <v>3.7</v>
      </c>
      <c r="S94" s="106">
        <f t="shared" si="44"/>
        <v>0.58</v>
      </c>
      <c r="T94" s="106">
        <f t="shared" si="45"/>
        <v>3</v>
      </c>
      <c r="U94" s="107">
        <f t="shared" si="46"/>
        <v>0.715333333333333</v>
      </c>
      <c r="V94" s="105">
        <f t="shared" si="47"/>
        <v>2</v>
      </c>
      <c r="W94" s="106">
        <f t="shared" si="48"/>
        <v>0.552238805970149</v>
      </c>
      <c r="X94" s="107">
        <f t="shared" si="49"/>
        <v>0.447761194029851</v>
      </c>
      <c r="Y94" s="105">
        <f t="shared" si="55"/>
        <v>0.236673773987207</v>
      </c>
      <c r="Z94" s="106">
        <f t="shared" si="56"/>
        <v>1.53200710732054</v>
      </c>
      <c r="AA94" s="106">
        <f t="shared" si="57"/>
        <v>0.718588651955269</v>
      </c>
      <c r="AB94" s="106">
        <v>0</v>
      </c>
      <c r="AC94" s="106">
        <f t="shared" si="58"/>
        <v>0.0051636965071889</v>
      </c>
      <c r="AD94" s="107">
        <f t="shared" si="59"/>
        <v>0.0051636965071889</v>
      </c>
      <c r="AE94" s="105">
        <f t="shared" si="60"/>
        <v>0.229120199004975</v>
      </c>
      <c r="AF94" s="106">
        <f t="shared" si="61"/>
        <v>0.718588651955269</v>
      </c>
      <c r="AG94" s="106">
        <f t="shared" si="50"/>
        <v>0.00418259417082301</v>
      </c>
      <c r="AH94" s="106">
        <f t="shared" si="51"/>
        <v>-0.0061877011411507</v>
      </c>
      <c r="AI94" s="107">
        <f t="shared" si="62"/>
        <v>-0.00200510697032769</v>
      </c>
      <c r="AJ94" s="105">
        <f t="shared" si="63"/>
        <v>0.58</v>
      </c>
      <c r="AK94" s="106">
        <f t="shared" si="64"/>
        <v>0.947060975699391</v>
      </c>
      <c r="AL94" s="106">
        <f t="shared" si="65"/>
        <v>0.1885</v>
      </c>
      <c r="AM94" s="106">
        <f t="shared" si="52"/>
        <v>0</v>
      </c>
      <c r="AN94" s="107">
        <f t="shared" si="66"/>
        <v>0.1885</v>
      </c>
      <c r="AO94" s="105">
        <f t="shared" si="53"/>
        <v>0.0051636965071889</v>
      </c>
      <c r="AP94" s="106">
        <f t="shared" si="54"/>
        <v>0.055944</v>
      </c>
      <c r="AQ94" s="107">
        <f t="shared" si="67"/>
        <v>0.0099</v>
      </c>
      <c r="AR94" s="105">
        <f t="shared" si="68"/>
        <v>0.257502589536861</v>
      </c>
      <c r="AS94" s="106">
        <f t="shared" si="69"/>
        <v>2.146</v>
      </c>
      <c r="AT94" s="107">
        <f t="shared" si="70"/>
        <v>89.2863610524971</v>
      </c>
    </row>
    <row r="95" spans="17:46">
      <c r="Q95">
        <v>88</v>
      </c>
      <c r="R95" s="105">
        <f t="shared" si="43"/>
        <v>3.7</v>
      </c>
      <c r="S95" s="106">
        <f t="shared" si="44"/>
        <v>0.586666666666667</v>
      </c>
      <c r="T95" s="106">
        <f t="shared" si="45"/>
        <v>3</v>
      </c>
      <c r="U95" s="107">
        <f t="shared" si="46"/>
        <v>0.723555555555556</v>
      </c>
      <c r="V95" s="105">
        <f t="shared" si="47"/>
        <v>2</v>
      </c>
      <c r="W95" s="106">
        <f t="shared" si="48"/>
        <v>0.552238805970149</v>
      </c>
      <c r="X95" s="107">
        <f t="shared" si="49"/>
        <v>0.447761194029851</v>
      </c>
      <c r="Y95" s="105">
        <f t="shared" si="55"/>
        <v>0.236673773987207</v>
      </c>
      <c r="Z95" s="106">
        <f t="shared" si="56"/>
        <v>1.54689599620943</v>
      </c>
      <c r="AA95" s="106">
        <f t="shared" si="57"/>
        <v>0.726774046672293</v>
      </c>
      <c r="AB95" s="106">
        <v>0</v>
      </c>
      <c r="AC95" s="106">
        <f t="shared" si="58"/>
        <v>0.00528200514916421</v>
      </c>
      <c r="AD95" s="107">
        <f t="shared" si="59"/>
        <v>0.00528200514916421</v>
      </c>
      <c r="AE95" s="105">
        <f t="shared" si="60"/>
        <v>0.234417600884467</v>
      </c>
      <c r="AF95" s="106">
        <f t="shared" si="61"/>
        <v>0.726774046672293</v>
      </c>
      <c r="AG95" s="106">
        <f t="shared" si="50"/>
        <v>0.00427842417082301</v>
      </c>
      <c r="AH95" s="106">
        <f t="shared" si="51"/>
        <v>-0.00625882414277313</v>
      </c>
      <c r="AI95" s="107">
        <f t="shared" si="62"/>
        <v>-0.00198039997195012</v>
      </c>
      <c r="AJ95" s="105">
        <f t="shared" si="63"/>
        <v>0.586666666666667</v>
      </c>
      <c r="AK95" s="106">
        <f t="shared" si="64"/>
        <v>0.957012375689555</v>
      </c>
      <c r="AL95" s="106">
        <f t="shared" si="65"/>
        <v>0.190666666666667</v>
      </c>
      <c r="AM95" s="106">
        <f t="shared" si="52"/>
        <v>0</v>
      </c>
      <c r="AN95" s="107">
        <f t="shared" si="66"/>
        <v>0.190666666666667</v>
      </c>
      <c r="AO95" s="105">
        <f t="shared" si="53"/>
        <v>0.00528200514916421</v>
      </c>
      <c r="AP95" s="106">
        <f t="shared" si="54"/>
        <v>0.055944</v>
      </c>
      <c r="AQ95" s="107">
        <f t="shared" si="67"/>
        <v>0.0099</v>
      </c>
      <c r="AR95" s="105">
        <f t="shared" si="68"/>
        <v>0.259812271843881</v>
      </c>
      <c r="AS95" s="106">
        <f t="shared" si="69"/>
        <v>2.17066666666667</v>
      </c>
      <c r="AT95" s="107">
        <f t="shared" si="70"/>
        <v>89.3102438483544</v>
      </c>
    </row>
    <row r="96" spans="17:46">
      <c r="Q96">
        <v>89</v>
      </c>
      <c r="R96" s="105">
        <f t="shared" si="43"/>
        <v>3.7</v>
      </c>
      <c r="S96" s="106">
        <f t="shared" si="44"/>
        <v>0.593333333333333</v>
      </c>
      <c r="T96" s="106">
        <f t="shared" si="45"/>
        <v>3</v>
      </c>
      <c r="U96" s="107">
        <f t="shared" si="46"/>
        <v>0.731777777777778</v>
      </c>
      <c r="V96" s="105">
        <f t="shared" si="47"/>
        <v>2</v>
      </c>
      <c r="W96" s="106">
        <f t="shared" si="48"/>
        <v>0.552238805970149</v>
      </c>
      <c r="X96" s="107">
        <f t="shared" si="49"/>
        <v>0.447761194029851</v>
      </c>
      <c r="Y96" s="105">
        <f t="shared" si="55"/>
        <v>0.236673773987207</v>
      </c>
      <c r="Z96" s="106">
        <f t="shared" si="56"/>
        <v>1.56178488509832</v>
      </c>
      <c r="AA96" s="106">
        <f t="shared" si="57"/>
        <v>0.734960263545244</v>
      </c>
      <c r="AB96" s="106">
        <v>0</v>
      </c>
      <c r="AC96" s="106">
        <f t="shared" si="58"/>
        <v>0.00540166588990495</v>
      </c>
      <c r="AD96" s="107">
        <f t="shared" si="59"/>
        <v>0.00540166588990495</v>
      </c>
      <c r="AE96" s="105">
        <f t="shared" si="60"/>
        <v>0.239775544499724</v>
      </c>
      <c r="AF96" s="106">
        <f t="shared" si="61"/>
        <v>0.734960263545244</v>
      </c>
      <c r="AG96" s="106">
        <f t="shared" si="50"/>
        <v>0.00437534937082301</v>
      </c>
      <c r="AH96" s="106">
        <f t="shared" si="51"/>
        <v>-0.00632994714439555</v>
      </c>
      <c r="AI96" s="107">
        <f t="shared" si="62"/>
        <v>-0.00195459777357254</v>
      </c>
      <c r="AJ96" s="105">
        <f t="shared" si="63"/>
        <v>0.593333333333333</v>
      </c>
      <c r="AK96" s="106">
        <f t="shared" si="64"/>
        <v>0.966964012397447</v>
      </c>
      <c r="AL96" s="106">
        <f t="shared" si="65"/>
        <v>0.192833333333333</v>
      </c>
      <c r="AM96" s="106">
        <f t="shared" si="52"/>
        <v>0</v>
      </c>
      <c r="AN96" s="107">
        <f t="shared" si="66"/>
        <v>0.192833333333333</v>
      </c>
      <c r="AO96" s="105">
        <f t="shared" si="53"/>
        <v>0.00540166588990495</v>
      </c>
      <c r="AP96" s="106">
        <f t="shared" si="54"/>
        <v>0.055944</v>
      </c>
      <c r="AQ96" s="107">
        <f t="shared" si="67"/>
        <v>0.0099</v>
      </c>
      <c r="AR96" s="105">
        <f t="shared" si="68"/>
        <v>0.262124401449666</v>
      </c>
      <c r="AS96" s="106">
        <f t="shared" si="69"/>
        <v>2.19533333333333</v>
      </c>
      <c r="AT96" s="107">
        <f t="shared" si="70"/>
        <v>89.3335133402483</v>
      </c>
    </row>
    <row r="97" spans="17:46">
      <c r="Q97">
        <v>90</v>
      </c>
      <c r="R97" s="105">
        <f t="shared" si="43"/>
        <v>3.7</v>
      </c>
      <c r="S97" s="106">
        <f t="shared" si="44"/>
        <v>0.6</v>
      </c>
      <c r="T97" s="106">
        <f t="shared" si="45"/>
        <v>3</v>
      </c>
      <c r="U97" s="107">
        <f t="shared" si="46"/>
        <v>0.74</v>
      </c>
      <c r="V97" s="105">
        <f t="shared" si="47"/>
        <v>2</v>
      </c>
      <c r="W97" s="106">
        <f t="shared" si="48"/>
        <v>0.552238805970149</v>
      </c>
      <c r="X97" s="107">
        <f t="shared" si="49"/>
        <v>0.447761194029851</v>
      </c>
      <c r="Y97" s="105">
        <f t="shared" si="55"/>
        <v>0.236673773987207</v>
      </c>
      <c r="Z97" s="106">
        <f t="shared" si="56"/>
        <v>1.57667377398721</v>
      </c>
      <c r="AA97" s="106">
        <f t="shared" si="57"/>
        <v>0.743147275404487</v>
      </c>
      <c r="AB97" s="106">
        <v>0</v>
      </c>
      <c r="AC97" s="106">
        <f t="shared" si="58"/>
        <v>0.00552267872941113</v>
      </c>
      <c r="AD97" s="107">
        <f t="shared" si="59"/>
        <v>0.00552267872941113</v>
      </c>
      <c r="AE97" s="105">
        <f t="shared" si="60"/>
        <v>0.245194029850746</v>
      </c>
      <c r="AF97" s="106">
        <f t="shared" si="61"/>
        <v>0.743147275404487</v>
      </c>
      <c r="AG97" s="106">
        <f t="shared" si="50"/>
        <v>0.00447336977082301</v>
      </c>
      <c r="AH97" s="106">
        <f t="shared" si="51"/>
        <v>-0.00640107014601797</v>
      </c>
      <c r="AI97" s="107">
        <f t="shared" si="62"/>
        <v>-0.00192770037519496</v>
      </c>
      <c r="AJ97" s="105">
        <f t="shared" si="63"/>
        <v>0.6</v>
      </c>
      <c r="AK97" s="106">
        <f t="shared" si="64"/>
        <v>0.976915878588885</v>
      </c>
      <c r="AL97" s="106">
        <f t="shared" si="65"/>
        <v>0.195</v>
      </c>
      <c r="AM97" s="106">
        <f t="shared" si="52"/>
        <v>0</v>
      </c>
      <c r="AN97" s="107">
        <f t="shared" si="66"/>
        <v>0.195</v>
      </c>
      <c r="AO97" s="105">
        <f t="shared" si="53"/>
        <v>0.00552267872941113</v>
      </c>
      <c r="AP97" s="106">
        <f t="shared" si="54"/>
        <v>0.055944</v>
      </c>
      <c r="AQ97" s="107">
        <f t="shared" si="67"/>
        <v>0.0099</v>
      </c>
      <c r="AR97" s="105">
        <f t="shared" si="68"/>
        <v>0.264438978354216</v>
      </c>
      <c r="AS97" s="106">
        <f t="shared" si="69"/>
        <v>2.22</v>
      </c>
      <c r="AT97" s="107">
        <f t="shared" si="70"/>
        <v>89.3561894392194</v>
      </c>
    </row>
    <row r="98" spans="17:46">
      <c r="Q98">
        <v>91</v>
      </c>
      <c r="R98" s="105">
        <f t="shared" si="43"/>
        <v>3.7</v>
      </c>
      <c r="S98" s="106">
        <f t="shared" si="44"/>
        <v>0.606666666666667</v>
      </c>
      <c r="T98" s="106">
        <f t="shared" si="45"/>
        <v>3</v>
      </c>
      <c r="U98" s="107">
        <f t="shared" si="46"/>
        <v>0.748222222222222</v>
      </c>
      <c r="V98" s="105">
        <f t="shared" si="47"/>
        <v>2</v>
      </c>
      <c r="W98" s="106">
        <f t="shared" si="48"/>
        <v>0.552238805970149</v>
      </c>
      <c r="X98" s="107">
        <f t="shared" si="49"/>
        <v>0.447761194029851</v>
      </c>
      <c r="Y98" s="105">
        <f t="shared" si="55"/>
        <v>0.236673773987207</v>
      </c>
      <c r="Z98" s="106">
        <f t="shared" si="56"/>
        <v>1.5915626628761</v>
      </c>
      <c r="AA98" s="106">
        <f t="shared" si="57"/>
        <v>0.751335056262033</v>
      </c>
      <c r="AB98" s="106">
        <v>0</v>
      </c>
      <c r="AC98" s="106">
        <f t="shared" si="58"/>
        <v>0.00564504366768273</v>
      </c>
      <c r="AD98" s="107">
        <f t="shared" si="59"/>
        <v>0.00564504366768273</v>
      </c>
      <c r="AE98" s="105">
        <f t="shared" si="60"/>
        <v>0.250673056937535</v>
      </c>
      <c r="AF98" s="106">
        <f t="shared" si="61"/>
        <v>0.751335056262033</v>
      </c>
      <c r="AG98" s="106">
        <f t="shared" si="50"/>
        <v>0.00457248537082301</v>
      </c>
      <c r="AH98" s="106">
        <f t="shared" si="51"/>
        <v>-0.00647219314764039</v>
      </c>
      <c r="AI98" s="107">
        <f t="shared" si="62"/>
        <v>-0.00189970777681738</v>
      </c>
      <c r="AJ98" s="105">
        <f t="shared" si="63"/>
        <v>0.606666666666667</v>
      </c>
      <c r="AK98" s="106">
        <f t="shared" si="64"/>
        <v>0.98686796732133</v>
      </c>
      <c r="AL98" s="106">
        <f t="shared" si="65"/>
        <v>0.197166666666667</v>
      </c>
      <c r="AM98" s="106">
        <f t="shared" si="52"/>
        <v>0</v>
      </c>
      <c r="AN98" s="107">
        <f t="shared" si="66"/>
        <v>0.197166666666667</v>
      </c>
      <c r="AO98" s="105">
        <f t="shared" si="53"/>
        <v>0.00564504366768273</v>
      </c>
      <c r="AP98" s="106">
        <f t="shared" si="54"/>
        <v>0.055944</v>
      </c>
      <c r="AQ98" s="107">
        <f t="shared" si="67"/>
        <v>0.0099</v>
      </c>
      <c r="AR98" s="105">
        <f t="shared" si="68"/>
        <v>0.266756002557532</v>
      </c>
      <c r="AS98" s="106">
        <f t="shared" si="69"/>
        <v>2.24466666666667</v>
      </c>
      <c r="AT98" s="107">
        <f t="shared" si="70"/>
        <v>89.3782912041669</v>
      </c>
    </row>
    <row r="99" spans="17:46">
      <c r="Q99">
        <v>92</v>
      </c>
      <c r="R99" s="105">
        <f t="shared" si="43"/>
        <v>3.7</v>
      </c>
      <c r="S99" s="106">
        <f t="shared" si="44"/>
        <v>0.613333333333333</v>
      </c>
      <c r="T99" s="106">
        <f t="shared" si="45"/>
        <v>3</v>
      </c>
      <c r="U99" s="107">
        <f t="shared" si="46"/>
        <v>0.756444444444445</v>
      </c>
      <c r="V99" s="105">
        <f t="shared" si="47"/>
        <v>2</v>
      </c>
      <c r="W99" s="106">
        <f t="shared" si="48"/>
        <v>0.552238805970149</v>
      </c>
      <c r="X99" s="107">
        <f t="shared" si="49"/>
        <v>0.447761194029851</v>
      </c>
      <c r="Y99" s="105">
        <f t="shared" si="55"/>
        <v>0.236673773987207</v>
      </c>
      <c r="Z99" s="106">
        <f t="shared" si="56"/>
        <v>1.60645155176498</v>
      </c>
      <c r="AA99" s="106">
        <f t="shared" si="57"/>
        <v>0.759523581248125</v>
      </c>
      <c r="AB99" s="106">
        <v>0</v>
      </c>
      <c r="AC99" s="106">
        <f t="shared" si="58"/>
        <v>0.00576876070471977</v>
      </c>
      <c r="AD99" s="107">
        <f t="shared" si="59"/>
        <v>0.00576876070471977</v>
      </c>
      <c r="AE99" s="105">
        <f t="shared" si="60"/>
        <v>0.256212625760089</v>
      </c>
      <c r="AF99" s="106">
        <f t="shared" si="61"/>
        <v>0.759523581248125</v>
      </c>
      <c r="AG99" s="106">
        <f t="shared" si="50"/>
        <v>0.00467269617082301</v>
      </c>
      <c r="AH99" s="106">
        <f t="shared" si="51"/>
        <v>-0.00654331614926281</v>
      </c>
      <c r="AI99" s="107">
        <f t="shared" si="62"/>
        <v>-0.0018706199784398</v>
      </c>
      <c r="AJ99" s="105">
        <f t="shared" si="63"/>
        <v>0.613333333333333</v>
      </c>
      <c r="AK99" s="106">
        <f t="shared" si="64"/>
        <v>0.996820271929345</v>
      </c>
      <c r="AL99" s="106">
        <f t="shared" si="65"/>
        <v>0.199333333333333</v>
      </c>
      <c r="AM99" s="106">
        <f t="shared" si="52"/>
        <v>0</v>
      </c>
      <c r="AN99" s="107">
        <f t="shared" si="66"/>
        <v>0.199333333333333</v>
      </c>
      <c r="AO99" s="105">
        <f t="shared" si="53"/>
        <v>0.00576876070471977</v>
      </c>
      <c r="AP99" s="106">
        <f t="shared" si="54"/>
        <v>0.055944</v>
      </c>
      <c r="AQ99" s="107">
        <f t="shared" si="67"/>
        <v>0.0099</v>
      </c>
      <c r="AR99" s="105">
        <f t="shared" si="68"/>
        <v>0.269075474059613</v>
      </c>
      <c r="AS99" s="106">
        <f t="shared" si="69"/>
        <v>2.26933333333333</v>
      </c>
      <c r="AT99" s="107">
        <f t="shared" si="70"/>
        <v>89.3998368869526</v>
      </c>
    </row>
    <row r="100" spans="17:46">
      <c r="Q100">
        <v>93</v>
      </c>
      <c r="R100" s="105">
        <f t="shared" si="43"/>
        <v>3.7</v>
      </c>
      <c r="S100" s="106">
        <f t="shared" si="44"/>
        <v>0.62</v>
      </c>
      <c r="T100" s="106">
        <f t="shared" si="45"/>
        <v>3</v>
      </c>
      <c r="U100" s="107">
        <f t="shared" si="46"/>
        <v>0.764666666666667</v>
      </c>
      <c r="V100" s="105">
        <f t="shared" si="47"/>
        <v>2</v>
      </c>
      <c r="W100" s="106">
        <f t="shared" si="48"/>
        <v>0.552238805970149</v>
      </c>
      <c r="X100" s="107">
        <f t="shared" si="49"/>
        <v>0.447761194029851</v>
      </c>
      <c r="Y100" s="105">
        <f t="shared" si="55"/>
        <v>0.236673773987207</v>
      </c>
      <c r="Z100" s="106">
        <f t="shared" si="56"/>
        <v>1.62134044065387</v>
      </c>
      <c r="AA100" s="106">
        <f t="shared" si="57"/>
        <v>0.767712826551845</v>
      </c>
      <c r="AB100" s="106">
        <v>0</v>
      </c>
      <c r="AC100" s="106">
        <f t="shared" si="58"/>
        <v>0.00589382984052223</v>
      </c>
      <c r="AD100" s="107">
        <f t="shared" si="59"/>
        <v>0.00589382984052223</v>
      </c>
      <c r="AE100" s="105">
        <f t="shared" si="60"/>
        <v>0.261812736318408</v>
      </c>
      <c r="AF100" s="106">
        <f t="shared" si="61"/>
        <v>0.767712826551845</v>
      </c>
      <c r="AG100" s="106">
        <f t="shared" si="50"/>
        <v>0.00477400217082301</v>
      </c>
      <c r="AH100" s="106">
        <f t="shared" si="51"/>
        <v>-0.00661443915088523</v>
      </c>
      <c r="AI100" s="107">
        <f t="shared" si="62"/>
        <v>-0.00184043698006222</v>
      </c>
      <c r="AJ100" s="105">
        <f t="shared" si="63"/>
        <v>0.62</v>
      </c>
      <c r="AK100" s="106">
        <f t="shared" si="64"/>
        <v>1.00677278601091</v>
      </c>
      <c r="AL100" s="106">
        <f t="shared" si="65"/>
        <v>0.2015</v>
      </c>
      <c r="AM100" s="106">
        <f t="shared" si="52"/>
        <v>0</v>
      </c>
      <c r="AN100" s="107">
        <f t="shared" si="66"/>
        <v>0.2015</v>
      </c>
      <c r="AO100" s="105">
        <f t="shared" si="53"/>
        <v>0.00589382984052223</v>
      </c>
      <c r="AP100" s="106">
        <f t="shared" si="54"/>
        <v>0.055944</v>
      </c>
      <c r="AQ100" s="107">
        <f t="shared" si="67"/>
        <v>0.0099</v>
      </c>
      <c r="AR100" s="105">
        <f t="shared" si="68"/>
        <v>0.27139739286046</v>
      </c>
      <c r="AS100" s="106">
        <f t="shared" si="69"/>
        <v>2.294</v>
      </c>
      <c r="AT100" s="107">
        <f t="shared" si="70"/>
        <v>89.4208439746699</v>
      </c>
    </row>
    <row r="101" spans="17:46">
      <c r="Q101">
        <v>94</v>
      </c>
      <c r="R101" s="105">
        <f t="shared" si="43"/>
        <v>3.7</v>
      </c>
      <c r="S101" s="106">
        <f t="shared" si="44"/>
        <v>0.626666666666667</v>
      </c>
      <c r="T101" s="106">
        <f t="shared" si="45"/>
        <v>3</v>
      </c>
      <c r="U101" s="107">
        <f t="shared" si="46"/>
        <v>0.772888888888889</v>
      </c>
      <c r="V101" s="105">
        <f t="shared" si="47"/>
        <v>2</v>
      </c>
      <c r="W101" s="106">
        <f t="shared" si="48"/>
        <v>0.552238805970149</v>
      </c>
      <c r="X101" s="107">
        <f t="shared" si="49"/>
        <v>0.447761194029851</v>
      </c>
      <c r="Y101" s="105">
        <f t="shared" si="55"/>
        <v>0.236673773987207</v>
      </c>
      <c r="Z101" s="106">
        <f t="shared" si="56"/>
        <v>1.63622932954276</v>
      </c>
      <c r="AA101" s="106">
        <f t="shared" si="57"/>
        <v>0.775902769365475</v>
      </c>
      <c r="AB101" s="106">
        <v>0</v>
      </c>
      <c r="AC101" s="106">
        <f t="shared" si="58"/>
        <v>0.00602025107509014</v>
      </c>
      <c r="AD101" s="107">
        <f t="shared" si="59"/>
        <v>0.00602025107509014</v>
      </c>
      <c r="AE101" s="105">
        <f t="shared" si="60"/>
        <v>0.267473388612493</v>
      </c>
      <c r="AF101" s="106">
        <f t="shared" si="61"/>
        <v>0.775902769365475</v>
      </c>
      <c r="AG101" s="106">
        <f t="shared" si="50"/>
        <v>0.00487640337082301</v>
      </c>
      <c r="AH101" s="106">
        <f t="shared" si="51"/>
        <v>-0.00668556215250766</v>
      </c>
      <c r="AI101" s="107">
        <f t="shared" si="62"/>
        <v>-0.00180915878168464</v>
      </c>
      <c r="AJ101" s="105">
        <f t="shared" si="63"/>
        <v>0.626666666666667</v>
      </c>
      <c r="AK101" s="106">
        <f t="shared" si="64"/>
        <v>1.01672550341455</v>
      </c>
      <c r="AL101" s="106">
        <f t="shared" si="65"/>
        <v>0.203666666666667</v>
      </c>
      <c r="AM101" s="106">
        <f t="shared" si="52"/>
        <v>0</v>
      </c>
      <c r="AN101" s="107">
        <f t="shared" si="66"/>
        <v>0.203666666666667</v>
      </c>
      <c r="AO101" s="105">
        <f t="shared" si="53"/>
        <v>0.00602025107509014</v>
      </c>
      <c r="AP101" s="106">
        <f t="shared" si="54"/>
        <v>0.055944</v>
      </c>
      <c r="AQ101" s="107">
        <f t="shared" si="67"/>
        <v>0.0099</v>
      </c>
      <c r="AR101" s="105">
        <f t="shared" si="68"/>
        <v>0.273721758960072</v>
      </c>
      <c r="AS101" s="106">
        <f t="shared" si="69"/>
        <v>2.31866666666667</v>
      </c>
      <c r="AT101" s="107">
        <f t="shared" si="70"/>
        <v>89.4413292292841</v>
      </c>
    </row>
    <row r="102" spans="17:46">
      <c r="Q102">
        <v>95</v>
      </c>
      <c r="R102" s="105">
        <f t="shared" si="43"/>
        <v>3.7</v>
      </c>
      <c r="S102" s="106">
        <f t="shared" si="44"/>
        <v>0.633333333333333</v>
      </c>
      <c r="T102" s="106">
        <f t="shared" si="45"/>
        <v>3</v>
      </c>
      <c r="U102" s="107">
        <f t="shared" si="46"/>
        <v>0.781111111111111</v>
      </c>
      <c r="V102" s="105">
        <f t="shared" si="47"/>
        <v>2</v>
      </c>
      <c r="W102" s="106">
        <f t="shared" si="48"/>
        <v>0.552238805970149</v>
      </c>
      <c r="X102" s="107">
        <f t="shared" si="49"/>
        <v>0.447761194029851</v>
      </c>
      <c r="Y102" s="105">
        <f t="shared" si="55"/>
        <v>0.236673773987207</v>
      </c>
      <c r="Z102" s="106">
        <f t="shared" si="56"/>
        <v>1.65111821843165</v>
      </c>
      <c r="AA102" s="106">
        <f t="shared" si="57"/>
        <v>0.784093387832309</v>
      </c>
      <c r="AB102" s="106">
        <v>0</v>
      </c>
      <c r="AC102" s="106">
        <f t="shared" si="58"/>
        <v>0.00614802440842347</v>
      </c>
      <c r="AD102" s="107">
        <f t="shared" si="59"/>
        <v>0.00614802440842347</v>
      </c>
      <c r="AE102" s="105">
        <f t="shared" si="60"/>
        <v>0.273194582642344</v>
      </c>
      <c r="AF102" s="106">
        <f t="shared" si="61"/>
        <v>0.784093387832309</v>
      </c>
      <c r="AG102" s="106">
        <f t="shared" si="50"/>
        <v>0.00497989977082301</v>
      </c>
      <c r="AH102" s="106">
        <f t="shared" si="51"/>
        <v>-0.00675668515413008</v>
      </c>
      <c r="AI102" s="107">
        <f t="shared" si="62"/>
        <v>-0.00177678538330707</v>
      </c>
      <c r="AJ102" s="105">
        <f t="shared" si="63"/>
        <v>0.633333333333333</v>
      </c>
      <c r="AK102" s="106">
        <f t="shared" si="64"/>
        <v>1.02667841822719</v>
      </c>
      <c r="AL102" s="106">
        <f t="shared" si="65"/>
        <v>0.205833333333333</v>
      </c>
      <c r="AM102" s="106">
        <f t="shared" si="52"/>
        <v>0</v>
      </c>
      <c r="AN102" s="107">
        <f t="shared" si="66"/>
        <v>0.205833333333333</v>
      </c>
      <c r="AO102" s="105">
        <f t="shared" si="53"/>
        <v>0.00614802440842347</v>
      </c>
      <c r="AP102" s="106">
        <f t="shared" si="54"/>
        <v>0.055944</v>
      </c>
      <c r="AQ102" s="107">
        <f t="shared" si="67"/>
        <v>0.0099</v>
      </c>
      <c r="AR102" s="105">
        <f t="shared" si="68"/>
        <v>0.27604857235845</v>
      </c>
      <c r="AS102" s="106">
        <f t="shared" si="69"/>
        <v>2.34333333333333</v>
      </c>
      <c r="AT102" s="107">
        <f t="shared" si="70"/>
        <v>89.4613087248327</v>
      </c>
    </row>
    <row r="103" spans="17:46">
      <c r="Q103">
        <v>96</v>
      </c>
      <c r="R103" s="105">
        <f t="shared" si="43"/>
        <v>3.7</v>
      </c>
      <c r="S103" s="106">
        <f t="shared" ref="S103:S134" si="71">Q103*$O$12</f>
        <v>0.64</v>
      </c>
      <c r="T103" s="106">
        <f t="shared" si="45"/>
        <v>3</v>
      </c>
      <c r="U103" s="107">
        <f t="shared" ref="U103:U134" si="72">(R103*S103)/(T103*EFF_est)</f>
        <v>0.789333333333333</v>
      </c>
      <c r="V103" s="105">
        <f t="shared" ref="V103:V134" si="73">IF(S103&lt;((T103^2)*R103)/(2*Fsw*Lm*((T103+R103)^2)),1,2)</f>
        <v>2</v>
      </c>
      <c r="W103" s="106">
        <f t="shared" ref="W103:W134" si="74">CHOOSE(V103,SQRT(2*Lm*R103*S103*Fsw)/T103,R103/(T103+R103))</f>
        <v>0.552238805970149</v>
      </c>
      <c r="X103" s="107">
        <f t="shared" ref="X103:X134" si="75">CHOOSE(V103,(Lm*Z103*Fsw)/(R103),1-W103)</f>
        <v>0.447761194029851</v>
      </c>
      <c r="Y103" s="105">
        <f t="shared" si="55"/>
        <v>0.236673773987207</v>
      </c>
      <c r="Z103" s="106">
        <f t="shared" si="56"/>
        <v>1.66600710732054</v>
      </c>
      <c r="AA103" s="106">
        <f t="shared" si="57"/>
        <v>0.792284660997689</v>
      </c>
      <c r="AB103" s="106">
        <v>0</v>
      </c>
      <c r="AC103" s="106">
        <f t="shared" si="58"/>
        <v>0.00627714984052224</v>
      </c>
      <c r="AD103" s="107">
        <f t="shared" si="59"/>
        <v>0.00627714984052224</v>
      </c>
      <c r="AE103" s="105">
        <f t="shared" si="60"/>
        <v>0.27897631840796</v>
      </c>
      <c r="AF103" s="106">
        <f t="shared" si="61"/>
        <v>0.792284660997689</v>
      </c>
      <c r="AG103" s="106">
        <f t="shared" ref="AG103:AG134" si="76">(AF103^2)*RDS_on</f>
        <v>0.00508449137082301</v>
      </c>
      <c r="AH103" s="106">
        <f t="shared" ref="AH103:AH134" si="77">(((R103+T103)*(U103+S103))/2)*Fsw*(tr_sw+tf_sw)</f>
        <v>-0.0068278081557525</v>
      </c>
      <c r="AI103" s="107">
        <f t="shared" si="62"/>
        <v>-0.00174331678492949</v>
      </c>
      <c r="AJ103" s="105">
        <f t="shared" si="63"/>
        <v>0.64</v>
      </c>
      <c r="AK103" s="106">
        <f t="shared" si="64"/>
        <v>1.03663152476274</v>
      </c>
      <c r="AL103" s="106">
        <f t="shared" si="65"/>
        <v>0.208</v>
      </c>
      <c r="AM103" s="106">
        <f t="shared" ref="AM103:AM134" si="78">(R103+T103+Vd_rect)*Qrr*Fsw</f>
        <v>0</v>
      </c>
      <c r="AN103" s="107">
        <f t="shared" si="66"/>
        <v>0.208</v>
      </c>
      <c r="AO103" s="105">
        <f t="shared" ref="AO103:AO134" si="79">(AF103^2)*R_cs</f>
        <v>0.00627714984052224</v>
      </c>
      <c r="AP103" s="106">
        <f t="shared" si="54"/>
        <v>0.055944</v>
      </c>
      <c r="AQ103" s="107">
        <f t="shared" si="67"/>
        <v>0.0099</v>
      </c>
      <c r="AR103" s="105">
        <f t="shared" si="68"/>
        <v>0.278377833055593</v>
      </c>
      <c r="AS103" s="106">
        <f t="shared" si="69"/>
        <v>2.368</v>
      </c>
      <c r="AT103" s="107">
        <f t="shared" si="70"/>
        <v>89.480797882358</v>
      </c>
    </row>
    <row r="104" spans="17:46">
      <c r="Q104">
        <v>97</v>
      </c>
      <c r="R104" s="105">
        <f t="shared" si="43"/>
        <v>3.7</v>
      </c>
      <c r="S104" s="106">
        <f t="shared" si="71"/>
        <v>0.646666666666667</v>
      </c>
      <c r="T104" s="106">
        <f t="shared" si="45"/>
        <v>3</v>
      </c>
      <c r="U104" s="107">
        <f t="shared" si="72"/>
        <v>0.797555555555556</v>
      </c>
      <c r="V104" s="105">
        <f t="shared" si="73"/>
        <v>2</v>
      </c>
      <c r="W104" s="106">
        <f t="shared" si="74"/>
        <v>0.552238805970149</v>
      </c>
      <c r="X104" s="107">
        <f t="shared" si="75"/>
        <v>0.447761194029851</v>
      </c>
      <c r="Y104" s="105">
        <f t="shared" si="55"/>
        <v>0.236673773987207</v>
      </c>
      <c r="Z104" s="106">
        <f t="shared" si="56"/>
        <v>1.68089599620943</v>
      </c>
      <c r="AA104" s="106">
        <f t="shared" si="57"/>
        <v>0.800476568763036</v>
      </c>
      <c r="AB104" s="106">
        <v>0</v>
      </c>
      <c r="AC104" s="106">
        <f t="shared" si="58"/>
        <v>0.00640762737138643</v>
      </c>
      <c r="AD104" s="107">
        <f t="shared" si="59"/>
        <v>0.00640762737138643</v>
      </c>
      <c r="AE104" s="105">
        <f t="shared" si="60"/>
        <v>0.284818595909342</v>
      </c>
      <c r="AF104" s="106">
        <f t="shared" si="61"/>
        <v>0.800476568763036</v>
      </c>
      <c r="AG104" s="106">
        <f t="shared" si="76"/>
        <v>0.00519017817082301</v>
      </c>
      <c r="AH104" s="106">
        <f t="shared" si="77"/>
        <v>-0.00689893115737492</v>
      </c>
      <c r="AI104" s="107">
        <f t="shared" si="62"/>
        <v>-0.00170875298655191</v>
      </c>
      <c r="AJ104" s="105">
        <f t="shared" si="63"/>
        <v>0.646666666666667</v>
      </c>
      <c r="AK104" s="106">
        <f t="shared" si="64"/>
        <v>1.04658481755129</v>
      </c>
      <c r="AL104" s="106">
        <f t="shared" si="65"/>
        <v>0.210166666666667</v>
      </c>
      <c r="AM104" s="106">
        <f t="shared" si="78"/>
        <v>0</v>
      </c>
      <c r="AN104" s="107">
        <f t="shared" si="66"/>
        <v>0.210166666666667</v>
      </c>
      <c r="AO104" s="105">
        <f t="shared" si="79"/>
        <v>0.00640762737138643</v>
      </c>
      <c r="AP104" s="106">
        <f t="shared" si="54"/>
        <v>0.055944</v>
      </c>
      <c r="AQ104" s="107">
        <f t="shared" si="67"/>
        <v>0.0099</v>
      </c>
      <c r="AR104" s="105">
        <f t="shared" si="68"/>
        <v>0.280709541051501</v>
      </c>
      <c r="AS104" s="106">
        <f t="shared" si="69"/>
        <v>2.39266666666667</v>
      </c>
      <c r="AT104" s="107">
        <f t="shared" si="70"/>
        <v>89.4998115027328</v>
      </c>
    </row>
    <row r="105" spans="17:46">
      <c r="Q105">
        <v>98</v>
      </c>
      <c r="R105" s="105">
        <f t="shared" si="43"/>
        <v>3.7</v>
      </c>
      <c r="S105" s="106">
        <f t="shared" si="71"/>
        <v>0.653333333333333</v>
      </c>
      <c r="T105" s="106">
        <f t="shared" si="45"/>
        <v>3</v>
      </c>
      <c r="U105" s="107">
        <f t="shared" si="72"/>
        <v>0.805777777777778</v>
      </c>
      <c r="V105" s="105">
        <f t="shared" si="73"/>
        <v>2</v>
      </c>
      <c r="W105" s="106">
        <f t="shared" si="74"/>
        <v>0.552238805970149</v>
      </c>
      <c r="X105" s="107">
        <f t="shared" si="75"/>
        <v>0.447761194029851</v>
      </c>
      <c r="Y105" s="105">
        <f t="shared" si="55"/>
        <v>0.236673773987207</v>
      </c>
      <c r="Z105" s="106">
        <f t="shared" si="56"/>
        <v>1.69578488509832</v>
      </c>
      <c r="AA105" s="106">
        <f t="shared" si="57"/>
        <v>0.808669091842644</v>
      </c>
      <c r="AB105" s="106">
        <v>0</v>
      </c>
      <c r="AC105" s="106">
        <f t="shared" si="58"/>
        <v>0.00653945700101606</v>
      </c>
      <c r="AD105" s="107">
        <f t="shared" si="59"/>
        <v>0.00653945700101606</v>
      </c>
      <c r="AE105" s="105">
        <f t="shared" si="60"/>
        <v>0.29072141514649</v>
      </c>
      <c r="AF105" s="106">
        <f t="shared" si="61"/>
        <v>0.808669091842644</v>
      </c>
      <c r="AG105" s="106">
        <f t="shared" si="76"/>
        <v>0.00529696017082301</v>
      </c>
      <c r="AH105" s="106">
        <f t="shared" si="77"/>
        <v>-0.00697005415899734</v>
      </c>
      <c r="AI105" s="107">
        <f t="shared" si="62"/>
        <v>-0.00167309398817433</v>
      </c>
      <c r="AJ105" s="105">
        <f t="shared" si="63"/>
        <v>0.653333333333333</v>
      </c>
      <c r="AK105" s="106">
        <f t="shared" si="64"/>
        <v>1.05653829132897</v>
      </c>
      <c r="AL105" s="106">
        <f t="shared" si="65"/>
        <v>0.212333333333333</v>
      </c>
      <c r="AM105" s="106">
        <f t="shared" si="78"/>
        <v>0</v>
      </c>
      <c r="AN105" s="107">
        <f t="shared" si="66"/>
        <v>0.212333333333333</v>
      </c>
      <c r="AO105" s="105">
        <f t="shared" si="79"/>
        <v>0.00653945700101606</v>
      </c>
      <c r="AP105" s="106">
        <f t="shared" si="54"/>
        <v>0.055944</v>
      </c>
      <c r="AQ105" s="107">
        <f t="shared" si="67"/>
        <v>0.0099</v>
      </c>
      <c r="AR105" s="105">
        <f t="shared" si="68"/>
        <v>0.283043696346175</v>
      </c>
      <c r="AS105" s="106">
        <f t="shared" si="69"/>
        <v>2.41733333333333</v>
      </c>
      <c r="AT105" s="107">
        <f t="shared" si="70"/>
        <v>89.5183637975262</v>
      </c>
    </row>
    <row r="106" spans="17:46">
      <c r="Q106">
        <v>99</v>
      </c>
      <c r="R106" s="105">
        <f t="shared" si="43"/>
        <v>3.7</v>
      </c>
      <c r="S106" s="106">
        <f t="shared" si="71"/>
        <v>0.66</v>
      </c>
      <c r="T106" s="106">
        <f t="shared" si="45"/>
        <v>3</v>
      </c>
      <c r="U106" s="107">
        <f t="shared" si="72"/>
        <v>0.814</v>
      </c>
      <c r="V106" s="105">
        <f t="shared" si="73"/>
        <v>2</v>
      </c>
      <c r="W106" s="106">
        <f t="shared" si="74"/>
        <v>0.552238805970149</v>
      </c>
      <c r="X106" s="107">
        <f t="shared" si="75"/>
        <v>0.447761194029851</v>
      </c>
      <c r="Y106" s="105">
        <f t="shared" si="55"/>
        <v>0.236673773987207</v>
      </c>
      <c r="Z106" s="106">
        <f t="shared" si="56"/>
        <v>1.71067377398721</v>
      </c>
      <c r="AA106" s="106">
        <f t="shared" si="57"/>
        <v>0.816862211723074</v>
      </c>
      <c r="AB106" s="106">
        <v>0</v>
      </c>
      <c r="AC106" s="106">
        <f t="shared" si="58"/>
        <v>0.00667263872941112</v>
      </c>
      <c r="AD106" s="107">
        <f t="shared" si="59"/>
        <v>0.00667263872941112</v>
      </c>
      <c r="AE106" s="105">
        <f t="shared" si="60"/>
        <v>0.296684776119403</v>
      </c>
      <c r="AF106" s="106">
        <f t="shared" si="61"/>
        <v>0.816862211723074</v>
      </c>
      <c r="AG106" s="106">
        <f t="shared" si="76"/>
        <v>0.00540483737082301</v>
      </c>
      <c r="AH106" s="106">
        <f t="shared" si="77"/>
        <v>-0.00704117716061977</v>
      </c>
      <c r="AI106" s="107">
        <f t="shared" si="62"/>
        <v>-0.00163633978979676</v>
      </c>
      <c r="AJ106" s="105">
        <f t="shared" si="63"/>
        <v>0.66</v>
      </c>
      <c r="AK106" s="106">
        <f t="shared" si="64"/>
        <v>1.06649194102831</v>
      </c>
      <c r="AL106" s="106">
        <f t="shared" si="65"/>
        <v>0.2145</v>
      </c>
      <c r="AM106" s="106">
        <f t="shared" si="78"/>
        <v>0</v>
      </c>
      <c r="AN106" s="107">
        <f t="shared" si="66"/>
        <v>0.2145</v>
      </c>
      <c r="AO106" s="105">
        <f t="shared" si="79"/>
        <v>0.00667263872941112</v>
      </c>
      <c r="AP106" s="106">
        <f t="shared" si="54"/>
        <v>0.055944</v>
      </c>
      <c r="AQ106" s="107">
        <f t="shared" si="67"/>
        <v>0.0099</v>
      </c>
      <c r="AR106" s="105">
        <f t="shared" si="68"/>
        <v>0.285380298939614</v>
      </c>
      <c r="AS106" s="106">
        <f t="shared" si="69"/>
        <v>2.442</v>
      </c>
      <c r="AT106" s="107">
        <f t="shared" si="70"/>
        <v>89.5364684180432</v>
      </c>
    </row>
    <row r="107" spans="17:46">
      <c r="Q107">
        <v>100</v>
      </c>
      <c r="R107" s="105">
        <f t="shared" si="43"/>
        <v>3.7</v>
      </c>
      <c r="S107" s="106">
        <f t="shared" si="71"/>
        <v>0.666666666666667</v>
      </c>
      <c r="T107" s="106">
        <f t="shared" si="45"/>
        <v>3</v>
      </c>
      <c r="U107" s="107">
        <f t="shared" si="72"/>
        <v>0.822222222222222</v>
      </c>
      <c r="V107" s="105">
        <f t="shared" si="73"/>
        <v>2</v>
      </c>
      <c r="W107" s="106">
        <f t="shared" si="74"/>
        <v>0.552238805970149</v>
      </c>
      <c r="X107" s="107">
        <f t="shared" si="75"/>
        <v>0.447761194029851</v>
      </c>
      <c r="Y107" s="105">
        <f t="shared" si="55"/>
        <v>0.236673773987207</v>
      </c>
      <c r="Z107" s="106">
        <f t="shared" si="56"/>
        <v>1.7255626628761</v>
      </c>
      <c r="AA107" s="106">
        <f t="shared" si="57"/>
        <v>0.825055910624948</v>
      </c>
      <c r="AB107" s="106">
        <v>0</v>
      </c>
      <c r="AC107" s="106">
        <f t="shared" si="58"/>
        <v>0.00680717255657162</v>
      </c>
      <c r="AD107" s="107">
        <f t="shared" si="59"/>
        <v>0.00680717255657162</v>
      </c>
      <c r="AE107" s="105">
        <f t="shared" si="60"/>
        <v>0.302708678828082</v>
      </c>
      <c r="AF107" s="106">
        <f t="shared" si="61"/>
        <v>0.825055910624948</v>
      </c>
      <c r="AG107" s="106">
        <f t="shared" si="76"/>
        <v>0.00551380977082301</v>
      </c>
      <c r="AH107" s="106">
        <f t="shared" si="77"/>
        <v>-0.00711230016224219</v>
      </c>
      <c r="AI107" s="107">
        <f t="shared" si="62"/>
        <v>-0.00159849039141918</v>
      </c>
      <c r="AJ107" s="105">
        <f t="shared" si="63"/>
        <v>0.666666666666667</v>
      </c>
      <c r="AK107" s="106">
        <f t="shared" si="64"/>
        <v>1.07644576176918</v>
      </c>
      <c r="AL107" s="106">
        <f t="shared" si="65"/>
        <v>0.216666666666667</v>
      </c>
      <c r="AM107" s="106">
        <f t="shared" si="78"/>
        <v>0</v>
      </c>
      <c r="AN107" s="107">
        <f t="shared" si="66"/>
        <v>0.216666666666667</v>
      </c>
      <c r="AO107" s="105">
        <f t="shared" si="79"/>
        <v>0.00680717255657162</v>
      </c>
      <c r="AP107" s="106">
        <f t="shared" si="54"/>
        <v>0.055944</v>
      </c>
      <c r="AQ107" s="107">
        <f t="shared" si="67"/>
        <v>0.0099</v>
      </c>
      <c r="AR107" s="105">
        <f t="shared" si="68"/>
        <v>0.287719348831819</v>
      </c>
      <c r="AS107" s="106">
        <f t="shared" si="69"/>
        <v>2.46666666666667</v>
      </c>
      <c r="AT107" s="107">
        <f t="shared" si="70"/>
        <v>89.5541384826648</v>
      </c>
    </row>
    <row r="108" spans="17:46">
      <c r="Q108">
        <v>101</v>
      </c>
      <c r="R108" s="105">
        <f t="shared" si="43"/>
        <v>3.7</v>
      </c>
      <c r="S108" s="106">
        <f t="shared" si="71"/>
        <v>0.673333333333333</v>
      </c>
      <c r="T108" s="106">
        <f t="shared" si="45"/>
        <v>3</v>
      </c>
      <c r="U108" s="107">
        <f t="shared" si="72"/>
        <v>0.830444444444444</v>
      </c>
      <c r="V108" s="105">
        <f t="shared" si="73"/>
        <v>2</v>
      </c>
      <c r="W108" s="106">
        <f t="shared" si="74"/>
        <v>0.552238805970149</v>
      </c>
      <c r="X108" s="107">
        <f t="shared" si="75"/>
        <v>0.447761194029851</v>
      </c>
      <c r="Y108" s="105">
        <f t="shared" si="55"/>
        <v>0.236673773987207</v>
      </c>
      <c r="Z108" s="106">
        <f t="shared" si="56"/>
        <v>1.74045155176498</v>
      </c>
      <c r="AA108" s="106">
        <f t="shared" si="57"/>
        <v>0.833250171466982</v>
      </c>
      <c r="AB108" s="106">
        <v>0</v>
      </c>
      <c r="AC108" s="106">
        <f t="shared" si="58"/>
        <v>0.00694305848249754</v>
      </c>
      <c r="AD108" s="107">
        <f t="shared" si="59"/>
        <v>0.00694305848249754</v>
      </c>
      <c r="AE108" s="105">
        <f t="shared" si="60"/>
        <v>0.308793123272526</v>
      </c>
      <c r="AF108" s="106">
        <f t="shared" si="61"/>
        <v>0.833250171466982</v>
      </c>
      <c r="AG108" s="106">
        <f t="shared" si="76"/>
        <v>0.00562387737082301</v>
      </c>
      <c r="AH108" s="106">
        <f t="shared" si="77"/>
        <v>-0.00718342316386461</v>
      </c>
      <c r="AI108" s="107">
        <f t="shared" si="62"/>
        <v>-0.0015595457930416</v>
      </c>
      <c r="AJ108" s="105">
        <f t="shared" si="63"/>
        <v>0.673333333333333</v>
      </c>
      <c r="AK108" s="106">
        <f t="shared" si="64"/>
        <v>1.08639974885024</v>
      </c>
      <c r="AL108" s="106">
        <f t="shared" si="65"/>
        <v>0.218833333333333</v>
      </c>
      <c r="AM108" s="106">
        <f t="shared" si="78"/>
        <v>0</v>
      </c>
      <c r="AN108" s="107">
        <f t="shared" si="66"/>
        <v>0.218833333333333</v>
      </c>
      <c r="AO108" s="105">
        <f t="shared" si="79"/>
        <v>0.00694305848249754</v>
      </c>
      <c r="AP108" s="106">
        <f t="shared" si="54"/>
        <v>0.055944</v>
      </c>
      <c r="AQ108" s="107">
        <f t="shared" si="67"/>
        <v>0.0099</v>
      </c>
      <c r="AR108" s="105">
        <f t="shared" si="68"/>
        <v>0.290060846022789</v>
      </c>
      <c r="AS108" s="106">
        <f t="shared" si="69"/>
        <v>2.49133333333333</v>
      </c>
      <c r="AT108" s="107">
        <f t="shared" si="70"/>
        <v>89.5713866026017</v>
      </c>
    </row>
    <row r="109" spans="17:46">
      <c r="Q109">
        <v>102</v>
      </c>
      <c r="R109" s="105">
        <f t="shared" si="43"/>
        <v>3.7</v>
      </c>
      <c r="S109" s="106">
        <f t="shared" si="71"/>
        <v>0.68</v>
      </c>
      <c r="T109" s="106">
        <f t="shared" si="45"/>
        <v>3</v>
      </c>
      <c r="U109" s="107">
        <f t="shared" si="72"/>
        <v>0.838666666666667</v>
      </c>
      <c r="V109" s="105">
        <f t="shared" si="73"/>
        <v>2</v>
      </c>
      <c r="W109" s="106">
        <f t="shared" si="74"/>
        <v>0.552238805970149</v>
      </c>
      <c r="X109" s="107">
        <f t="shared" si="75"/>
        <v>0.447761194029851</v>
      </c>
      <c r="Y109" s="105">
        <f t="shared" si="55"/>
        <v>0.236673773987207</v>
      </c>
      <c r="Z109" s="106">
        <f t="shared" si="56"/>
        <v>1.75534044065387</v>
      </c>
      <c r="AA109" s="106">
        <f t="shared" si="57"/>
        <v>0.841444977832116</v>
      </c>
      <c r="AB109" s="106">
        <v>0</v>
      </c>
      <c r="AC109" s="106">
        <f t="shared" si="58"/>
        <v>0.0070802965071889</v>
      </c>
      <c r="AD109" s="107">
        <f t="shared" si="59"/>
        <v>0.0070802965071889</v>
      </c>
      <c r="AE109" s="105">
        <f t="shared" si="60"/>
        <v>0.314938109452736</v>
      </c>
      <c r="AF109" s="106">
        <f t="shared" si="61"/>
        <v>0.841444977832116</v>
      </c>
      <c r="AG109" s="106">
        <f t="shared" si="76"/>
        <v>0.00573504017082301</v>
      </c>
      <c r="AH109" s="106">
        <f t="shared" si="77"/>
        <v>-0.00725454616548703</v>
      </c>
      <c r="AI109" s="107">
        <f t="shared" si="62"/>
        <v>-0.00151950599466402</v>
      </c>
      <c r="AJ109" s="105">
        <f t="shared" si="63"/>
        <v>0.68</v>
      </c>
      <c r="AK109" s="106">
        <f t="shared" si="64"/>
        <v>1.09635389774078</v>
      </c>
      <c r="AL109" s="106">
        <f t="shared" si="65"/>
        <v>0.221</v>
      </c>
      <c r="AM109" s="106">
        <f t="shared" si="78"/>
        <v>0</v>
      </c>
      <c r="AN109" s="107">
        <f t="shared" si="66"/>
        <v>0.221</v>
      </c>
      <c r="AO109" s="105">
        <f t="shared" si="79"/>
        <v>0.0070802965071889</v>
      </c>
      <c r="AP109" s="106">
        <f t="shared" si="54"/>
        <v>0.055944</v>
      </c>
      <c r="AQ109" s="107">
        <f t="shared" si="67"/>
        <v>0.0099</v>
      </c>
      <c r="AR109" s="105">
        <f t="shared" si="68"/>
        <v>0.292404790512525</v>
      </c>
      <c r="AS109" s="106">
        <f t="shared" si="69"/>
        <v>2.516</v>
      </c>
      <c r="AT109" s="107">
        <f t="shared" si="70"/>
        <v>89.5882249061695</v>
      </c>
    </row>
    <row r="110" spans="17:46">
      <c r="Q110">
        <v>103</v>
      </c>
      <c r="R110" s="105">
        <f t="shared" si="43"/>
        <v>3.7</v>
      </c>
      <c r="S110" s="106">
        <f t="shared" si="71"/>
        <v>0.686666666666667</v>
      </c>
      <c r="T110" s="106">
        <f t="shared" si="45"/>
        <v>3</v>
      </c>
      <c r="U110" s="107">
        <f t="shared" si="72"/>
        <v>0.846888888888889</v>
      </c>
      <c r="V110" s="105">
        <f t="shared" si="73"/>
        <v>2</v>
      </c>
      <c r="W110" s="106">
        <f t="shared" si="74"/>
        <v>0.552238805970149</v>
      </c>
      <c r="X110" s="107">
        <f t="shared" si="75"/>
        <v>0.447761194029851</v>
      </c>
      <c r="Y110" s="105">
        <f t="shared" si="55"/>
        <v>0.236673773987207</v>
      </c>
      <c r="Z110" s="106">
        <f t="shared" si="56"/>
        <v>1.77022932954276</v>
      </c>
      <c r="AA110" s="106">
        <f t="shared" si="57"/>
        <v>0.849640313935591</v>
      </c>
      <c r="AB110" s="106">
        <v>0</v>
      </c>
      <c r="AC110" s="106">
        <f t="shared" si="58"/>
        <v>0.00721888663064569</v>
      </c>
      <c r="AD110" s="107">
        <f t="shared" si="59"/>
        <v>0.00721888663064569</v>
      </c>
      <c r="AE110" s="105">
        <f t="shared" si="60"/>
        <v>0.321143637368712</v>
      </c>
      <c r="AF110" s="106">
        <f t="shared" si="61"/>
        <v>0.849640313935591</v>
      </c>
      <c r="AG110" s="106">
        <f t="shared" si="76"/>
        <v>0.00584729817082301</v>
      </c>
      <c r="AH110" s="106">
        <f t="shared" si="77"/>
        <v>-0.00732566916710945</v>
      </c>
      <c r="AI110" s="107">
        <f t="shared" si="62"/>
        <v>-0.00147837099628644</v>
      </c>
      <c r="AJ110" s="105">
        <f t="shared" si="63"/>
        <v>0.686666666666667</v>
      </c>
      <c r="AK110" s="106">
        <f t="shared" si="64"/>
        <v>1.10630820407311</v>
      </c>
      <c r="AL110" s="106">
        <f t="shared" si="65"/>
        <v>0.223166666666667</v>
      </c>
      <c r="AM110" s="106">
        <f t="shared" si="78"/>
        <v>0</v>
      </c>
      <c r="AN110" s="107">
        <f t="shared" si="66"/>
        <v>0.223166666666667</v>
      </c>
      <c r="AO110" s="105">
        <f t="shared" si="79"/>
        <v>0.00721888663064569</v>
      </c>
      <c r="AP110" s="106">
        <f t="shared" si="54"/>
        <v>0.055944</v>
      </c>
      <c r="AQ110" s="107">
        <f t="shared" si="67"/>
        <v>0.0099</v>
      </c>
      <c r="AR110" s="105">
        <f t="shared" si="68"/>
        <v>0.294751182301026</v>
      </c>
      <c r="AS110" s="106">
        <f t="shared" si="69"/>
        <v>2.54066666666667</v>
      </c>
      <c r="AT110" s="107">
        <f t="shared" si="70"/>
        <v>89.6046650616826</v>
      </c>
    </row>
    <row r="111" spans="17:46">
      <c r="Q111">
        <v>104</v>
      </c>
      <c r="R111" s="105">
        <f t="shared" si="43"/>
        <v>3.7</v>
      </c>
      <c r="S111" s="106">
        <f t="shared" si="71"/>
        <v>0.693333333333333</v>
      </c>
      <c r="T111" s="106">
        <f t="shared" si="45"/>
        <v>3</v>
      </c>
      <c r="U111" s="107">
        <f t="shared" si="72"/>
        <v>0.855111111111111</v>
      </c>
      <c r="V111" s="105">
        <f t="shared" si="73"/>
        <v>2</v>
      </c>
      <c r="W111" s="106">
        <f t="shared" si="74"/>
        <v>0.552238805970149</v>
      </c>
      <c r="X111" s="107">
        <f t="shared" si="75"/>
        <v>0.447761194029851</v>
      </c>
      <c r="Y111" s="105">
        <f t="shared" si="55"/>
        <v>0.236673773987207</v>
      </c>
      <c r="Z111" s="106">
        <f t="shared" si="56"/>
        <v>1.78511821843165</v>
      </c>
      <c r="AA111" s="106">
        <f t="shared" si="57"/>
        <v>0.857836164594844</v>
      </c>
      <c r="AB111" s="106">
        <v>0</v>
      </c>
      <c r="AC111" s="106">
        <f t="shared" si="58"/>
        <v>0.00735882885286792</v>
      </c>
      <c r="AD111" s="107">
        <f t="shared" si="59"/>
        <v>0.00735882885286792</v>
      </c>
      <c r="AE111" s="105">
        <f t="shared" si="60"/>
        <v>0.327409707020453</v>
      </c>
      <c r="AF111" s="106">
        <f t="shared" si="61"/>
        <v>0.857836164594844</v>
      </c>
      <c r="AG111" s="106">
        <f t="shared" si="76"/>
        <v>0.00596065137082301</v>
      </c>
      <c r="AH111" s="106">
        <f t="shared" si="77"/>
        <v>-0.00739679216873188</v>
      </c>
      <c r="AI111" s="107">
        <f t="shared" si="62"/>
        <v>-0.00143614079790886</v>
      </c>
      <c r="AJ111" s="105">
        <f t="shared" si="63"/>
        <v>0.693333333333333</v>
      </c>
      <c r="AK111" s="106">
        <f t="shared" si="64"/>
        <v>1.11626266363524</v>
      </c>
      <c r="AL111" s="106">
        <f t="shared" si="65"/>
        <v>0.225333333333333</v>
      </c>
      <c r="AM111" s="106">
        <f t="shared" si="78"/>
        <v>0</v>
      </c>
      <c r="AN111" s="107">
        <f t="shared" si="66"/>
        <v>0.225333333333333</v>
      </c>
      <c r="AO111" s="105">
        <f t="shared" si="79"/>
        <v>0.00735882885286792</v>
      </c>
      <c r="AP111" s="106">
        <f t="shared" si="54"/>
        <v>0.055944</v>
      </c>
      <c r="AQ111" s="107">
        <f t="shared" si="67"/>
        <v>0.0099</v>
      </c>
      <c r="AR111" s="105">
        <f t="shared" si="68"/>
        <v>0.297100021388292</v>
      </c>
      <c r="AS111" s="106">
        <f t="shared" si="69"/>
        <v>2.56533333333333</v>
      </c>
      <c r="AT111" s="107">
        <f t="shared" si="70"/>
        <v>89.6207182990576</v>
      </c>
    </row>
    <row r="112" spans="17:46">
      <c r="Q112">
        <v>105</v>
      </c>
      <c r="R112" s="105">
        <f t="shared" si="43"/>
        <v>3.7</v>
      </c>
      <c r="S112" s="106">
        <f t="shared" si="71"/>
        <v>0.7</v>
      </c>
      <c r="T112" s="106">
        <f t="shared" si="45"/>
        <v>3</v>
      </c>
      <c r="U112" s="107">
        <f t="shared" si="72"/>
        <v>0.863333333333333</v>
      </c>
      <c r="V112" s="105">
        <f t="shared" si="73"/>
        <v>2</v>
      </c>
      <c r="W112" s="106">
        <f t="shared" si="74"/>
        <v>0.552238805970149</v>
      </c>
      <c r="X112" s="107">
        <f t="shared" si="75"/>
        <v>0.447761194029851</v>
      </c>
      <c r="Y112" s="105">
        <f t="shared" si="55"/>
        <v>0.236673773987207</v>
      </c>
      <c r="Z112" s="106">
        <f t="shared" si="56"/>
        <v>1.80000710732054</v>
      </c>
      <c r="AA112" s="106">
        <f t="shared" si="57"/>
        <v>0.866032515201108</v>
      </c>
      <c r="AB112" s="106">
        <v>0</v>
      </c>
      <c r="AC112" s="106">
        <f t="shared" si="58"/>
        <v>0.00750012317385557</v>
      </c>
      <c r="AD112" s="107">
        <f t="shared" si="59"/>
        <v>0.00750012317385557</v>
      </c>
      <c r="AE112" s="105">
        <f t="shared" si="60"/>
        <v>0.33373631840796</v>
      </c>
      <c r="AF112" s="106">
        <f t="shared" si="61"/>
        <v>0.866032515201108</v>
      </c>
      <c r="AG112" s="106">
        <f t="shared" si="76"/>
        <v>0.00607509977082301</v>
      </c>
      <c r="AH112" s="106">
        <f t="shared" si="77"/>
        <v>-0.0074679151703543</v>
      </c>
      <c r="AI112" s="107">
        <f t="shared" si="62"/>
        <v>-0.00139281539953129</v>
      </c>
      <c r="AJ112" s="105">
        <f t="shared" si="63"/>
        <v>0.7</v>
      </c>
      <c r="AK112" s="106">
        <f t="shared" si="64"/>
        <v>1.12621727236406</v>
      </c>
      <c r="AL112" s="106">
        <f t="shared" si="65"/>
        <v>0.2275</v>
      </c>
      <c r="AM112" s="106">
        <f t="shared" si="78"/>
        <v>0</v>
      </c>
      <c r="AN112" s="107">
        <f t="shared" si="66"/>
        <v>0.2275</v>
      </c>
      <c r="AO112" s="105">
        <f t="shared" si="79"/>
        <v>0.00750012317385557</v>
      </c>
      <c r="AP112" s="106">
        <f t="shared" si="54"/>
        <v>0.055944</v>
      </c>
      <c r="AQ112" s="107">
        <f t="shared" si="67"/>
        <v>0.0099</v>
      </c>
      <c r="AR112" s="105">
        <f t="shared" si="68"/>
        <v>0.299451307774324</v>
      </c>
      <c r="AS112" s="106">
        <f t="shared" si="69"/>
        <v>2.59</v>
      </c>
      <c r="AT112" s="107">
        <f t="shared" si="70"/>
        <v>89.6363954302111</v>
      </c>
    </row>
    <row r="113" spans="17:46">
      <c r="Q113">
        <v>106</v>
      </c>
      <c r="R113" s="105">
        <f t="shared" si="43"/>
        <v>3.7</v>
      </c>
      <c r="S113" s="106">
        <f t="shared" si="71"/>
        <v>0.706666666666667</v>
      </c>
      <c r="T113" s="106">
        <f t="shared" si="45"/>
        <v>3</v>
      </c>
      <c r="U113" s="107">
        <f t="shared" si="72"/>
        <v>0.871555555555556</v>
      </c>
      <c r="V113" s="105">
        <f t="shared" si="73"/>
        <v>2</v>
      </c>
      <c r="W113" s="106">
        <f t="shared" si="74"/>
        <v>0.552238805970149</v>
      </c>
      <c r="X113" s="107">
        <f t="shared" si="75"/>
        <v>0.447761194029851</v>
      </c>
      <c r="Y113" s="105">
        <f t="shared" si="55"/>
        <v>0.236673773987207</v>
      </c>
      <c r="Z113" s="106">
        <f t="shared" si="56"/>
        <v>1.81489599620943</v>
      </c>
      <c r="AA113" s="106">
        <f t="shared" si="57"/>
        <v>0.874229351692601</v>
      </c>
      <c r="AB113" s="106">
        <v>0</v>
      </c>
      <c r="AC113" s="106">
        <f t="shared" si="58"/>
        <v>0.00764276959360866</v>
      </c>
      <c r="AD113" s="107">
        <f t="shared" si="59"/>
        <v>0.00764276959360866</v>
      </c>
      <c r="AE113" s="105">
        <f t="shared" si="60"/>
        <v>0.340123471531233</v>
      </c>
      <c r="AF113" s="106">
        <f t="shared" si="61"/>
        <v>0.874229351692601</v>
      </c>
      <c r="AG113" s="106">
        <f t="shared" si="76"/>
        <v>0.00619064337082301</v>
      </c>
      <c r="AH113" s="106">
        <f t="shared" si="77"/>
        <v>-0.00753903817197672</v>
      </c>
      <c r="AI113" s="107">
        <f t="shared" si="62"/>
        <v>-0.00134839480115371</v>
      </c>
      <c r="AJ113" s="105">
        <f t="shared" si="63"/>
        <v>0.706666666666667</v>
      </c>
      <c r="AK113" s="106">
        <f t="shared" si="64"/>
        <v>1.13617202633878</v>
      </c>
      <c r="AL113" s="106">
        <f t="shared" si="65"/>
        <v>0.229666666666667</v>
      </c>
      <c r="AM113" s="106">
        <f t="shared" si="78"/>
        <v>0</v>
      </c>
      <c r="AN113" s="107">
        <f t="shared" si="66"/>
        <v>0.229666666666667</v>
      </c>
      <c r="AO113" s="105">
        <f t="shared" si="79"/>
        <v>0.00764276959360866</v>
      </c>
      <c r="AP113" s="106">
        <f t="shared" si="54"/>
        <v>0.055944</v>
      </c>
      <c r="AQ113" s="107">
        <f t="shared" si="67"/>
        <v>0.0099</v>
      </c>
      <c r="AR113" s="105">
        <f t="shared" si="68"/>
        <v>0.301805041459122</v>
      </c>
      <c r="AS113" s="106">
        <f t="shared" si="69"/>
        <v>2.61466666666667</v>
      </c>
      <c r="AT113" s="107">
        <f t="shared" si="70"/>
        <v>89.6517068683286</v>
      </c>
    </row>
    <row r="114" spans="17:46">
      <c r="Q114">
        <v>107</v>
      </c>
      <c r="R114" s="105">
        <f t="shared" si="43"/>
        <v>3.7</v>
      </c>
      <c r="S114" s="106">
        <f t="shared" si="71"/>
        <v>0.713333333333333</v>
      </c>
      <c r="T114" s="106">
        <f t="shared" si="45"/>
        <v>3</v>
      </c>
      <c r="U114" s="107">
        <f t="shared" si="72"/>
        <v>0.879777777777778</v>
      </c>
      <c r="V114" s="105">
        <f t="shared" si="73"/>
        <v>2</v>
      </c>
      <c r="W114" s="106">
        <f t="shared" si="74"/>
        <v>0.552238805970149</v>
      </c>
      <c r="X114" s="107">
        <f t="shared" si="75"/>
        <v>0.447761194029851</v>
      </c>
      <c r="Y114" s="105">
        <f t="shared" si="55"/>
        <v>0.236673773987207</v>
      </c>
      <c r="Z114" s="106">
        <f t="shared" si="56"/>
        <v>1.82978488509832</v>
      </c>
      <c r="AA114" s="106">
        <f t="shared" si="57"/>
        <v>0.882426660529201</v>
      </c>
      <c r="AB114" s="106">
        <v>0</v>
      </c>
      <c r="AC114" s="106">
        <f t="shared" si="58"/>
        <v>0.00778676811212718</v>
      </c>
      <c r="AD114" s="107">
        <f t="shared" si="59"/>
        <v>0.00778676811212718</v>
      </c>
      <c r="AE114" s="105">
        <f t="shared" si="60"/>
        <v>0.346571166390271</v>
      </c>
      <c r="AF114" s="106">
        <f t="shared" si="61"/>
        <v>0.882426660529201</v>
      </c>
      <c r="AG114" s="106">
        <f t="shared" si="76"/>
        <v>0.00630728217082301</v>
      </c>
      <c r="AH114" s="106">
        <f t="shared" si="77"/>
        <v>-0.00761016117359914</v>
      </c>
      <c r="AI114" s="107">
        <f t="shared" si="62"/>
        <v>-0.00130287900277613</v>
      </c>
      <c r="AJ114" s="105">
        <f t="shared" si="63"/>
        <v>0.713333333333333</v>
      </c>
      <c r="AK114" s="106">
        <f t="shared" si="64"/>
        <v>1.14612692177477</v>
      </c>
      <c r="AL114" s="106">
        <f t="shared" si="65"/>
        <v>0.231833333333333</v>
      </c>
      <c r="AM114" s="106">
        <f t="shared" si="78"/>
        <v>0</v>
      </c>
      <c r="AN114" s="107">
        <f t="shared" si="66"/>
        <v>0.231833333333333</v>
      </c>
      <c r="AO114" s="105">
        <f t="shared" si="79"/>
        <v>0.00778676811212718</v>
      </c>
      <c r="AP114" s="106">
        <f t="shared" si="54"/>
        <v>0.055944</v>
      </c>
      <c r="AQ114" s="107">
        <f t="shared" si="67"/>
        <v>0.0099</v>
      </c>
      <c r="AR114" s="105">
        <f t="shared" si="68"/>
        <v>0.304161222442684</v>
      </c>
      <c r="AS114" s="106">
        <f t="shared" si="69"/>
        <v>2.63933333333333</v>
      </c>
      <c r="AT114" s="107">
        <f t="shared" si="70"/>
        <v>89.6666626460773</v>
      </c>
    </row>
    <row r="115" spans="17:46">
      <c r="Q115">
        <v>108</v>
      </c>
      <c r="R115" s="105">
        <f t="shared" si="43"/>
        <v>3.7</v>
      </c>
      <c r="S115" s="106">
        <f t="shared" si="71"/>
        <v>0.72</v>
      </c>
      <c r="T115" s="106">
        <f t="shared" si="45"/>
        <v>3</v>
      </c>
      <c r="U115" s="107">
        <f t="shared" si="72"/>
        <v>0.888</v>
      </c>
      <c r="V115" s="105">
        <f t="shared" si="73"/>
        <v>2</v>
      </c>
      <c r="W115" s="106">
        <f t="shared" si="74"/>
        <v>0.552238805970149</v>
      </c>
      <c r="X115" s="107">
        <f t="shared" si="75"/>
        <v>0.447761194029851</v>
      </c>
      <c r="Y115" s="105">
        <f t="shared" si="55"/>
        <v>0.236673773987207</v>
      </c>
      <c r="Z115" s="106">
        <f t="shared" si="56"/>
        <v>1.84467377398721</v>
      </c>
      <c r="AA115" s="106">
        <f t="shared" si="57"/>
        <v>0.890624428668512</v>
      </c>
      <c r="AB115" s="106">
        <v>0</v>
      </c>
      <c r="AC115" s="106">
        <f t="shared" si="58"/>
        <v>0.00793211872941113</v>
      </c>
      <c r="AD115" s="107">
        <f t="shared" si="59"/>
        <v>0.00793211872941113</v>
      </c>
      <c r="AE115" s="105">
        <f t="shared" si="60"/>
        <v>0.353079402985075</v>
      </c>
      <c r="AF115" s="106">
        <f t="shared" si="61"/>
        <v>0.890624428668512</v>
      </c>
      <c r="AG115" s="106">
        <f t="shared" si="76"/>
        <v>0.00642501617082301</v>
      </c>
      <c r="AH115" s="106">
        <f t="shared" si="77"/>
        <v>-0.00768128417522156</v>
      </c>
      <c r="AI115" s="107">
        <f t="shared" si="62"/>
        <v>-0.00125626800439855</v>
      </c>
      <c r="AJ115" s="105">
        <f t="shared" si="63"/>
        <v>0.72</v>
      </c>
      <c r="AK115" s="106">
        <f t="shared" si="64"/>
        <v>1.1560819550177</v>
      </c>
      <c r="AL115" s="106">
        <f t="shared" si="65"/>
        <v>0.234</v>
      </c>
      <c r="AM115" s="106">
        <f t="shared" si="78"/>
        <v>0</v>
      </c>
      <c r="AN115" s="107">
        <f t="shared" si="66"/>
        <v>0.234</v>
      </c>
      <c r="AO115" s="105">
        <f t="shared" si="79"/>
        <v>0.00793211872941113</v>
      </c>
      <c r="AP115" s="106">
        <f t="shared" si="54"/>
        <v>0.055944</v>
      </c>
      <c r="AQ115" s="107">
        <f t="shared" si="67"/>
        <v>0.0099</v>
      </c>
      <c r="AR115" s="105">
        <f t="shared" si="68"/>
        <v>0.306519850725013</v>
      </c>
      <c r="AS115" s="106">
        <f t="shared" si="69"/>
        <v>2.664</v>
      </c>
      <c r="AT115" s="107">
        <f t="shared" si="70"/>
        <v>89.6812724328302</v>
      </c>
    </row>
    <row r="116" spans="17:46">
      <c r="Q116">
        <v>109</v>
      </c>
      <c r="R116" s="105">
        <f t="shared" si="43"/>
        <v>3.7</v>
      </c>
      <c r="S116" s="106">
        <f t="shared" si="71"/>
        <v>0.726666666666667</v>
      </c>
      <c r="T116" s="106">
        <f t="shared" si="45"/>
        <v>3</v>
      </c>
      <c r="U116" s="107">
        <f t="shared" si="72"/>
        <v>0.896222222222222</v>
      </c>
      <c r="V116" s="105">
        <f t="shared" si="73"/>
        <v>2</v>
      </c>
      <c r="W116" s="106">
        <f t="shared" si="74"/>
        <v>0.552238805970149</v>
      </c>
      <c r="X116" s="107">
        <f t="shared" si="75"/>
        <v>0.447761194029851</v>
      </c>
      <c r="Y116" s="105">
        <f t="shared" si="55"/>
        <v>0.236673773987207</v>
      </c>
      <c r="Z116" s="106">
        <f t="shared" si="56"/>
        <v>1.8595626628761</v>
      </c>
      <c r="AA116" s="106">
        <f t="shared" si="57"/>
        <v>0.898822643543236</v>
      </c>
      <c r="AB116" s="106">
        <v>0</v>
      </c>
      <c r="AC116" s="106">
        <f t="shared" si="58"/>
        <v>0.00807882144546051</v>
      </c>
      <c r="AD116" s="107">
        <f t="shared" si="59"/>
        <v>0.00807882144546051</v>
      </c>
      <c r="AE116" s="105">
        <f t="shared" si="60"/>
        <v>0.359648181315644</v>
      </c>
      <c r="AF116" s="106">
        <f t="shared" si="61"/>
        <v>0.898822643543236</v>
      </c>
      <c r="AG116" s="106">
        <f t="shared" si="76"/>
        <v>0.00654384537082301</v>
      </c>
      <c r="AH116" s="106">
        <f t="shared" si="77"/>
        <v>-0.00775240717684398</v>
      </c>
      <c r="AI116" s="107">
        <f t="shared" si="62"/>
        <v>-0.00120856180602098</v>
      </c>
      <c r="AJ116" s="105">
        <f t="shared" si="63"/>
        <v>0.726666666666667</v>
      </c>
      <c r="AK116" s="106">
        <f t="shared" si="64"/>
        <v>1.16603712253801</v>
      </c>
      <c r="AL116" s="106">
        <f t="shared" si="65"/>
        <v>0.236166666666667</v>
      </c>
      <c r="AM116" s="106">
        <f t="shared" si="78"/>
        <v>0</v>
      </c>
      <c r="AN116" s="107">
        <f t="shared" si="66"/>
        <v>0.236166666666667</v>
      </c>
      <c r="AO116" s="105">
        <f t="shared" si="79"/>
        <v>0.00807882144546051</v>
      </c>
      <c r="AP116" s="106">
        <f t="shared" si="54"/>
        <v>0.055944</v>
      </c>
      <c r="AQ116" s="107">
        <f t="shared" si="67"/>
        <v>0.0099</v>
      </c>
      <c r="AR116" s="105">
        <f t="shared" si="68"/>
        <v>0.308880926306106</v>
      </c>
      <c r="AS116" s="106">
        <f t="shared" si="69"/>
        <v>2.68866666666667</v>
      </c>
      <c r="AT116" s="107">
        <f t="shared" si="70"/>
        <v>89.6955455509623</v>
      </c>
    </row>
    <row r="117" spans="17:46">
      <c r="Q117">
        <v>110</v>
      </c>
      <c r="R117" s="105">
        <f t="shared" si="43"/>
        <v>3.7</v>
      </c>
      <c r="S117" s="106">
        <f t="shared" si="71"/>
        <v>0.733333333333333</v>
      </c>
      <c r="T117" s="106">
        <f t="shared" si="45"/>
        <v>3</v>
      </c>
      <c r="U117" s="107">
        <f t="shared" si="72"/>
        <v>0.904444444444445</v>
      </c>
      <c r="V117" s="105">
        <f t="shared" si="73"/>
        <v>2</v>
      </c>
      <c r="W117" s="106">
        <f t="shared" si="74"/>
        <v>0.552238805970149</v>
      </c>
      <c r="X117" s="107">
        <f t="shared" si="75"/>
        <v>0.447761194029851</v>
      </c>
      <c r="Y117" s="105">
        <f t="shared" si="55"/>
        <v>0.236673773987207</v>
      </c>
      <c r="Z117" s="106">
        <f t="shared" si="56"/>
        <v>1.87445155176498</v>
      </c>
      <c r="AA117" s="106">
        <f t="shared" si="57"/>
        <v>0.907021293039768</v>
      </c>
      <c r="AB117" s="106">
        <v>0</v>
      </c>
      <c r="AC117" s="106">
        <f t="shared" si="58"/>
        <v>0.00822687626027532</v>
      </c>
      <c r="AD117" s="107">
        <f t="shared" si="59"/>
        <v>0.00822687626027532</v>
      </c>
      <c r="AE117" s="105">
        <f t="shared" si="60"/>
        <v>0.366277501381979</v>
      </c>
      <c r="AF117" s="106">
        <f t="shared" si="61"/>
        <v>0.907021293039768</v>
      </c>
      <c r="AG117" s="106">
        <f t="shared" si="76"/>
        <v>0.00666376977082301</v>
      </c>
      <c r="AH117" s="106">
        <f t="shared" si="77"/>
        <v>-0.00782353017846641</v>
      </c>
      <c r="AI117" s="107">
        <f t="shared" si="62"/>
        <v>-0.0011597604076434</v>
      </c>
      <c r="AJ117" s="105">
        <f t="shared" si="63"/>
        <v>0.733333333333333</v>
      </c>
      <c r="AK117" s="106">
        <f t="shared" si="64"/>
        <v>1.17599242092559</v>
      </c>
      <c r="AL117" s="106">
        <f t="shared" si="65"/>
        <v>0.238333333333333</v>
      </c>
      <c r="AM117" s="106">
        <f t="shared" si="78"/>
        <v>0</v>
      </c>
      <c r="AN117" s="107">
        <f t="shared" si="66"/>
        <v>0.238333333333333</v>
      </c>
      <c r="AO117" s="105">
        <f t="shared" si="79"/>
        <v>0.00822687626027532</v>
      </c>
      <c r="AP117" s="106">
        <f t="shared" si="54"/>
        <v>0.055944</v>
      </c>
      <c r="AQ117" s="107">
        <f t="shared" si="67"/>
        <v>0.0099</v>
      </c>
      <c r="AR117" s="105">
        <f t="shared" si="68"/>
        <v>0.311244449185965</v>
      </c>
      <c r="AS117" s="106">
        <f t="shared" si="69"/>
        <v>2.71333333333333</v>
      </c>
      <c r="AT117" s="107">
        <f t="shared" si="70"/>
        <v>89.7094909912776</v>
      </c>
    </row>
    <row r="118" spans="17:46">
      <c r="Q118">
        <v>111</v>
      </c>
      <c r="R118" s="105">
        <f t="shared" si="43"/>
        <v>3.7</v>
      </c>
      <c r="S118" s="106">
        <f t="shared" si="71"/>
        <v>0.74</v>
      </c>
      <c r="T118" s="106">
        <f t="shared" si="45"/>
        <v>3</v>
      </c>
      <c r="U118" s="107">
        <f t="shared" si="72"/>
        <v>0.912666666666667</v>
      </c>
      <c r="V118" s="105">
        <f t="shared" si="73"/>
        <v>2</v>
      </c>
      <c r="W118" s="106">
        <f t="shared" si="74"/>
        <v>0.552238805970149</v>
      </c>
      <c r="X118" s="107">
        <f t="shared" si="75"/>
        <v>0.447761194029851</v>
      </c>
      <c r="Y118" s="105">
        <f t="shared" si="55"/>
        <v>0.236673773987207</v>
      </c>
      <c r="Z118" s="106">
        <f t="shared" si="56"/>
        <v>1.88934044065387</v>
      </c>
      <c r="AA118" s="106">
        <f t="shared" si="57"/>
        <v>0.915220365477931</v>
      </c>
      <c r="AB118" s="106">
        <v>0</v>
      </c>
      <c r="AC118" s="106">
        <f t="shared" si="58"/>
        <v>0.00837628317385557</v>
      </c>
      <c r="AD118" s="107">
        <f t="shared" si="59"/>
        <v>0.00837628317385557</v>
      </c>
      <c r="AE118" s="105">
        <f t="shared" si="60"/>
        <v>0.37296736318408</v>
      </c>
      <c r="AF118" s="106">
        <f t="shared" si="61"/>
        <v>0.915220365477931</v>
      </c>
      <c r="AG118" s="106">
        <f t="shared" si="76"/>
        <v>0.00678478937082301</v>
      </c>
      <c r="AH118" s="106">
        <f t="shared" si="77"/>
        <v>-0.00789465318008883</v>
      </c>
      <c r="AI118" s="107">
        <f t="shared" si="62"/>
        <v>-0.00110986380926582</v>
      </c>
      <c r="AJ118" s="105">
        <f t="shared" si="63"/>
        <v>0.74</v>
      </c>
      <c r="AK118" s="106">
        <f t="shared" si="64"/>
        <v>1.18594784688478</v>
      </c>
      <c r="AL118" s="106">
        <f t="shared" si="65"/>
        <v>0.2405</v>
      </c>
      <c r="AM118" s="106">
        <f t="shared" si="78"/>
        <v>0</v>
      </c>
      <c r="AN118" s="107">
        <f t="shared" si="66"/>
        <v>0.2405</v>
      </c>
      <c r="AO118" s="105">
        <f t="shared" si="79"/>
        <v>0.00837628317385557</v>
      </c>
      <c r="AP118" s="106">
        <f t="shared" si="54"/>
        <v>0.055944</v>
      </c>
      <c r="AQ118" s="107">
        <f t="shared" si="67"/>
        <v>0.0099</v>
      </c>
      <c r="AR118" s="105">
        <f t="shared" si="68"/>
        <v>0.31361041936459</v>
      </c>
      <c r="AS118" s="106">
        <f t="shared" si="69"/>
        <v>2.738</v>
      </c>
      <c r="AT118" s="107">
        <f t="shared" si="70"/>
        <v>89.7231174276207</v>
      </c>
    </row>
    <row r="119" spans="17:46">
      <c r="Q119">
        <v>112</v>
      </c>
      <c r="R119" s="105">
        <f t="shared" si="43"/>
        <v>3.7</v>
      </c>
      <c r="S119" s="106">
        <f t="shared" si="71"/>
        <v>0.746666666666667</v>
      </c>
      <c r="T119" s="106">
        <f t="shared" si="45"/>
        <v>3</v>
      </c>
      <c r="U119" s="107">
        <f t="shared" si="72"/>
        <v>0.920888888888889</v>
      </c>
      <c r="V119" s="105">
        <f t="shared" si="73"/>
        <v>2</v>
      </c>
      <c r="W119" s="106">
        <f t="shared" si="74"/>
        <v>0.552238805970149</v>
      </c>
      <c r="X119" s="107">
        <f t="shared" si="75"/>
        <v>0.447761194029851</v>
      </c>
      <c r="Y119" s="105">
        <f t="shared" si="55"/>
        <v>0.236673773987207</v>
      </c>
      <c r="Z119" s="106">
        <f t="shared" si="56"/>
        <v>1.90422932954276</v>
      </c>
      <c r="AA119" s="106">
        <f t="shared" si="57"/>
        <v>0.92341984959179</v>
      </c>
      <c r="AB119" s="106">
        <v>0</v>
      </c>
      <c r="AC119" s="106">
        <f t="shared" si="58"/>
        <v>0.00852704218620125</v>
      </c>
      <c r="AD119" s="107">
        <f t="shared" si="59"/>
        <v>0.00852704218620125</v>
      </c>
      <c r="AE119" s="105">
        <f t="shared" si="60"/>
        <v>0.379717766721946</v>
      </c>
      <c r="AF119" s="106">
        <f t="shared" si="61"/>
        <v>0.92341984959179</v>
      </c>
      <c r="AG119" s="106">
        <f t="shared" si="76"/>
        <v>0.00690690417082301</v>
      </c>
      <c r="AH119" s="106">
        <f t="shared" si="77"/>
        <v>-0.00796577618171125</v>
      </c>
      <c r="AI119" s="107">
        <f t="shared" si="62"/>
        <v>-0.00105887201088824</v>
      </c>
      <c r="AJ119" s="105">
        <f t="shared" si="63"/>
        <v>0.746666666666667</v>
      </c>
      <c r="AK119" s="106">
        <f t="shared" si="64"/>
        <v>1.19590339722963</v>
      </c>
      <c r="AL119" s="106">
        <f t="shared" si="65"/>
        <v>0.242666666666667</v>
      </c>
      <c r="AM119" s="106">
        <f t="shared" si="78"/>
        <v>0</v>
      </c>
      <c r="AN119" s="107">
        <f t="shared" si="66"/>
        <v>0.242666666666667</v>
      </c>
      <c r="AO119" s="105">
        <f t="shared" si="79"/>
        <v>0.00852704218620125</v>
      </c>
      <c r="AP119" s="106">
        <f t="shared" si="54"/>
        <v>0.055944</v>
      </c>
      <c r="AQ119" s="107">
        <f t="shared" si="67"/>
        <v>0.0099</v>
      </c>
      <c r="AR119" s="105">
        <f t="shared" si="68"/>
        <v>0.31597883684198</v>
      </c>
      <c r="AS119" s="106">
        <f t="shared" si="69"/>
        <v>2.76266666666667</v>
      </c>
      <c r="AT119" s="107">
        <f t="shared" si="70"/>
        <v>89.7364332307222</v>
      </c>
    </row>
    <row r="120" spans="17:46">
      <c r="Q120">
        <v>113</v>
      </c>
      <c r="R120" s="105">
        <f t="shared" si="43"/>
        <v>3.7</v>
      </c>
      <c r="S120" s="106">
        <f t="shared" si="71"/>
        <v>0.753333333333333</v>
      </c>
      <c r="T120" s="106">
        <f t="shared" si="45"/>
        <v>3</v>
      </c>
      <c r="U120" s="107">
        <f t="shared" si="72"/>
        <v>0.929111111111111</v>
      </c>
      <c r="V120" s="105">
        <f t="shared" si="73"/>
        <v>2</v>
      </c>
      <c r="W120" s="106">
        <f t="shared" si="74"/>
        <v>0.552238805970149</v>
      </c>
      <c r="X120" s="107">
        <f t="shared" si="75"/>
        <v>0.447761194029851</v>
      </c>
      <c r="Y120" s="105">
        <f t="shared" si="55"/>
        <v>0.236673773987207</v>
      </c>
      <c r="Z120" s="106">
        <f t="shared" si="56"/>
        <v>1.91911821843165</v>
      </c>
      <c r="AA120" s="106">
        <f t="shared" si="57"/>
        <v>0.931619734511478</v>
      </c>
      <c r="AB120" s="106">
        <v>0</v>
      </c>
      <c r="AC120" s="106">
        <f t="shared" si="58"/>
        <v>0.00867915329731236</v>
      </c>
      <c r="AD120" s="107">
        <f t="shared" si="59"/>
        <v>0.00867915329731236</v>
      </c>
      <c r="AE120" s="105">
        <f t="shared" si="60"/>
        <v>0.386528711995578</v>
      </c>
      <c r="AF120" s="106">
        <f t="shared" si="61"/>
        <v>0.931619734511478</v>
      </c>
      <c r="AG120" s="106">
        <f t="shared" si="76"/>
        <v>0.00703011417082301</v>
      </c>
      <c r="AH120" s="106">
        <f t="shared" si="77"/>
        <v>-0.00803689918333367</v>
      </c>
      <c r="AI120" s="107">
        <f t="shared" si="62"/>
        <v>-0.00100678501251066</v>
      </c>
      <c r="AJ120" s="105">
        <f t="shared" si="63"/>
        <v>0.753333333333333</v>
      </c>
      <c r="AK120" s="106">
        <f t="shared" si="64"/>
        <v>1.20585906887937</v>
      </c>
      <c r="AL120" s="106">
        <f t="shared" si="65"/>
        <v>0.244833333333333</v>
      </c>
      <c r="AM120" s="106">
        <f t="shared" si="78"/>
        <v>0</v>
      </c>
      <c r="AN120" s="107">
        <f t="shared" si="66"/>
        <v>0.244833333333333</v>
      </c>
      <c r="AO120" s="105">
        <f t="shared" si="79"/>
        <v>0.00867915329731236</v>
      </c>
      <c r="AP120" s="106">
        <f t="shared" si="54"/>
        <v>0.055944</v>
      </c>
      <c r="AQ120" s="107">
        <f t="shared" si="67"/>
        <v>0.0099</v>
      </c>
      <c r="AR120" s="105">
        <f t="shared" si="68"/>
        <v>0.318349701618135</v>
      </c>
      <c r="AS120" s="106">
        <f t="shared" si="69"/>
        <v>2.78733333333333</v>
      </c>
      <c r="AT120" s="107">
        <f t="shared" si="70"/>
        <v>89.7494464813242</v>
      </c>
    </row>
    <row r="121" spans="17:46">
      <c r="Q121">
        <v>114</v>
      </c>
      <c r="R121" s="105">
        <f t="shared" si="43"/>
        <v>3.7</v>
      </c>
      <c r="S121" s="106">
        <f t="shared" si="71"/>
        <v>0.76</v>
      </c>
      <c r="T121" s="106">
        <f t="shared" si="45"/>
        <v>3</v>
      </c>
      <c r="U121" s="107">
        <f t="shared" si="72"/>
        <v>0.937333333333333</v>
      </c>
      <c r="V121" s="105">
        <f t="shared" si="73"/>
        <v>2</v>
      </c>
      <c r="W121" s="106">
        <f t="shared" si="74"/>
        <v>0.552238805970149</v>
      </c>
      <c r="X121" s="107">
        <f t="shared" si="75"/>
        <v>0.447761194029851</v>
      </c>
      <c r="Y121" s="105">
        <f t="shared" si="55"/>
        <v>0.236673773987207</v>
      </c>
      <c r="Z121" s="106">
        <f t="shared" si="56"/>
        <v>1.93400710732054</v>
      </c>
      <c r="AA121" s="106">
        <f t="shared" si="57"/>
        <v>0.939820009745957</v>
      </c>
      <c r="AB121" s="106">
        <v>0</v>
      </c>
      <c r="AC121" s="106">
        <f t="shared" si="58"/>
        <v>0.0088326165071889</v>
      </c>
      <c r="AD121" s="107">
        <f t="shared" si="59"/>
        <v>0.0088326165071889</v>
      </c>
      <c r="AE121" s="105">
        <f t="shared" si="60"/>
        <v>0.393400199004975</v>
      </c>
      <c r="AF121" s="106">
        <f t="shared" si="61"/>
        <v>0.939820009745957</v>
      </c>
      <c r="AG121" s="106">
        <f t="shared" si="76"/>
        <v>0.00715441937082301</v>
      </c>
      <c r="AH121" s="106">
        <f t="shared" si="77"/>
        <v>-0.00810802218495609</v>
      </c>
      <c r="AI121" s="107">
        <f t="shared" si="62"/>
        <v>-0.000953602814133082</v>
      </c>
      <c r="AJ121" s="105">
        <f t="shared" si="63"/>
        <v>0.76</v>
      </c>
      <c r="AK121" s="106">
        <f t="shared" si="64"/>
        <v>1.21581485885408</v>
      </c>
      <c r="AL121" s="106">
        <f t="shared" si="65"/>
        <v>0.247</v>
      </c>
      <c r="AM121" s="106">
        <f t="shared" si="78"/>
        <v>0</v>
      </c>
      <c r="AN121" s="107">
        <f t="shared" si="66"/>
        <v>0.247</v>
      </c>
      <c r="AO121" s="105">
        <f t="shared" si="79"/>
        <v>0.0088326165071889</v>
      </c>
      <c r="AP121" s="106">
        <f t="shared" si="54"/>
        <v>0.055944</v>
      </c>
      <c r="AQ121" s="107">
        <f t="shared" si="67"/>
        <v>0.0099</v>
      </c>
      <c r="AR121" s="105">
        <f t="shared" si="68"/>
        <v>0.320723013693056</v>
      </c>
      <c r="AS121" s="106">
        <f t="shared" si="69"/>
        <v>2.812</v>
      </c>
      <c r="AT121" s="107">
        <f t="shared" si="70"/>
        <v>89.7621649826307</v>
      </c>
    </row>
    <row r="122" spans="17:46">
      <c r="Q122">
        <v>115</v>
      </c>
      <c r="R122" s="105">
        <f t="shared" si="43"/>
        <v>3.7</v>
      </c>
      <c r="S122" s="106">
        <f t="shared" si="71"/>
        <v>0.766666666666667</v>
      </c>
      <c r="T122" s="106">
        <f t="shared" si="45"/>
        <v>3</v>
      </c>
      <c r="U122" s="107">
        <f t="shared" si="72"/>
        <v>0.945555555555556</v>
      </c>
      <c r="V122" s="105">
        <f t="shared" si="73"/>
        <v>2</v>
      </c>
      <c r="W122" s="106">
        <f t="shared" si="74"/>
        <v>0.552238805970149</v>
      </c>
      <c r="X122" s="107">
        <f t="shared" si="75"/>
        <v>0.447761194029851</v>
      </c>
      <c r="Y122" s="105">
        <f t="shared" si="55"/>
        <v>0.236673773987207</v>
      </c>
      <c r="Z122" s="106">
        <f t="shared" si="56"/>
        <v>1.94889599620943</v>
      </c>
      <c r="AA122" s="106">
        <f t="shared" si="57"/>
        <v>0.948020665166687</v>
      </c>
      <c r="AB122" s="106">
        <v>0</v>
      </c>
      <c r="AC122" s="106">
        <f t="shared" si="58"/>
        <v>0.00898743181583088</v>
      </c>
      <c r="AD122" s="107">
        <f t="shared" si="59"/>
        <v>0.00898743181583088</v>
      </c>
      <c r="AE122" s="105">
        <f t="shared" si="60"/>
        <v>0.400332227750138</v>
      </c>
      <c r="AF122" s="106">
        <f t="shared" si="61"/>
        <v>0.948020665166687</v>
      </c>
      <c r="AG122" s="106">
        <f t="shared" si="76"/>
        <v>0.00727981977082301</v>
      </c>
      <c r="AH122" s="106">
        <f t="shared" si="77"/>
        <v>-0.00817914518657852</v>
      </c>
      <c r="AI122" s="107">
        <f t="shared" si="62"/>
        <v>-0.000899325415755505</v>
      </c>
      <c r="AJ122" s="105">
        <f t="shared" si="63"/>
        <v>0.766666666666667</v>
      </c>
      <c r="AK122" s="106">
        <f t="shared" si="64"/>
        <v>1.22577076427065</v>
      </c>
      <c r="AL122" s="106">
        <f t="shared" si="65"/>
        <v>0.249166666666667</v>
      </c>
      <c r="AM122" s="106">
        <f t="shared" si="78"/>
        <v>0</v>
      </c>
      <c r="AN122" s="107">
        <f t="shared" si="66"/>
        <v>0.249166666666667</v>
      </c>
      <c r="AO122" s="105">
        <f t="shared" si="79"/>
        <v>0.00898743181583088</v>
      </c>
      <c r="AP122" s="106">
        <f t="shared" si="54"/>
        <v>0.055944</v>
      </c>
      <c r="AQ122" s="107">
        <f t="shared" si="67"/>
        <v>0.0099</v>
      </c>
      <c r="AR122" s="105">
        <f t="shared" si="68"/>
        <v>0.323098773066742</v>
      </c>
      <c r="AS122" s="106">
        <f t="shared" si="69"/>
        <v>2.83666666666667</v>
      </c>
      <c r="AT122" s="107">
        <f t="shared" si="70"/>
        <v>89.7745962721207</v>
      </c>
    </row>
    <row r="123" spans="17:46">
      <c r="Q123">
        <v>116</v>
      </c>
      <c r="R123" s="105">
        <f t="shared" si="43"/>
        <v>3.7</v>
      </c>
      <c r="S123" s="106">
        <f t="shared" si="71"/>
        <v>0.773333333333333</v>
      </c>
      <c r="T123" s="106">
        <f t="shared" si="45"/>
        <v>3</v>
      </c>
      <c r="U123" s="107">
        <f t="shared" si="72"/>
        <v>0.953777777777778</v>
      </c>
      <c r="V123" s="105">
        <f t="shared" si="73"/>
        <v>2</v>
      </c>
      <c r="W123" s="106">
        <f t="shared" si="74"/>
        <v>0.552238805970149</v>
      </c>
      <c r="X123" s="107">
        <f t="shared" si="75"/>
        <v>0.447761194029851</v>
      </c>
      <c r="Y123" s="105">
        <f t="shared" si="55"/>
        <v>0.236673773987207</v>
      </c>
      <c r="Z123" s="106">
        <f t="shared" si="56"/>
        <v>1.96378488509832</v>
      </c>
      <c r="AA123" s="106">
        <f t="shared" si="57"/>
        <v>0.95622169099212</v>
      </c>
      <c r="AB123" s="106">
        <v>0</v>
      </c>
      <c r="AC123" s="106">
        <f t="shared" si="58"/>
        <v>0.00914359922323829</v>
      </c>
      <c r="AD123" s="107">
        <f t="shared" si="59"/>
        <v>0.00914359922323829</v>
      </c>
      <c r="AE123" s="105">
        <f t="shared" si="60"/>
        <v>0.407324798231067</v>
      </c>
      <c r="AF123" s="106">
        <f t="shared" si="61"/>
        <v>0.95622169099212</v>
      </c>
      <c r="AG123" s="106">
        <f t="shared" si="76"/>
        <v>0.00740631537082301</v>
      </c>
      <c r="AH123" s="106">
        <f t="shared" si="77"/>
        <v>-0.00825026818820094</v>
      </c>
      <c r="AI123" s="107">
        <f t="shared" si="62"/>
        <v>-0.000843952817377927</v>
      </c>
      <c r="AJ123" s="105">
        <f t="shared" si="63"/>
        <v>0.773333333333333</v>
      </c>
      <c r="AK123" s="106">
        <f t="shared" si="64"/>
        <v>1.23572678233883</v>
      </c>
      <c r="AL123" s="106">
        <f t="shared" si="65"/>
        <v>0.251333333333333</v>
      </c>
      <c r="AM123" s="106">
        <f t="shared" si="78"/>
        <v>0</v>
      </c>
      <c r="AN123" s="107">
        <f t="shared" si="66"/>
        <v>0.251333333333333</v>
      </c>
      <c r="AO123" s="105">
        <f t="shared" si="79"/>
        <v>0.00914359922323829</v>
      </c>
      <c r="AP123" s="106">
        <f t="shared" si="54"/>
        <v>0.055944</v>
      </c>
      <c r="AQ123" s="107">
        <f t="shared" si="67"/>
        <v>0.0099</v>
      </c>
      <c r="AR123" s="105">
        <f t="shared" si="68"/>
        <v>0.325476979739194</v>
      </c>
      <c r="AS123" s="106">
        <f t="shared" si="69"/>
        <v>2.86133333333333</v>
      </c>
      <c r="AT123" s="107">
        <f t="shared" si="70"/>
        <v>89.7867476327642</v>
      </c>
    </row>
    <row r="124" spans="17:46">
      <c r="Q124">
        <v>117</v>
      </c>
      <c r="R124" s="105">
        <f t="shared" si="43"/>
        <v>3.7</v>
      </c>
      <c r="S124" s="106">
        <f t="shared" si="71"/>
        <v>0.78</v>
      </c>
      <c r="T124" s="106">
        <f t="shared" si="45"/>
        <v>3</v>
      </c>
      <c r="U124" s="107">
        <f t="shared" si="72"/>
        <v>0.962</v>
      </c>
      <c r="V124" s="105">
        <f t="shared" si="73"/>
        <v>2</v>
      </c>
      <c r="W124" s="106">
        <f t="shared" si="74"/>
        <v>0.552238805970149</v>
      </c>
      <c r="X124" s="107">
        <f t="shared" si="75"/>
        <v>0.447761194029851</v>
      </c>
      <c r="Y124" s="105">
        <f t="shared" si="55"/>
        <v>0.236673773987207</v>
      </c>
      <c r="Z124" s="106">
        <f t="shared" si="56"/>
        <v>1.97867377398721</v>
      </c>
      <c r="AA124" s="106">
        <f t="shared" si="57"/>
        <v>0.964423077772983</v>
      </c>
      <c r="AB124" s="106">
        <v>0</v>
      </c>
      <c r="AC124" s="106">
        <f t="shared" si="58"/>
        <v>0.00930111872941113</v>
      </c>
      <c r="AD124" s="107">
        <f t="shared" si="59"/>
        <v>0.00930111872941113</v>
      </c>
      <c r="AE124" s="105">
        <f t="shared" si="60"/>
        <v>0.414377910447761</v>
      </c>
      <c r="AF124" s="106">
        <f t="shared" si="61"/>
        <v>0.964423077772983</v>
      </c>
      <c r="AG124" s="106">
        <f t="shared" si="76"/>
        <v>0.00753390617082301</v>
      </c>
      <c r="AH124" s="106">
        <f t="shared" si="77"/>
        <v>-0.00832139118982336</v>
      </c>
      <c r="AI124" s="107">
        <f t="shared" si="62"/>
        <v>-0.000787485019000348</v>
      </c>
      <c r="AJ124" s="105">
        <f t="shared" si="63"/>
        <v>0.78</v>
      </c>
      <c r="AK124" s="106">
        <f t="shared" si="64"/>
        <v>1.24568291035752</v>
      </c>
      <c r="AL124" s="106">
        <f t="shared" si="65"/>
        <v>0.2535</v>
      </c>
      <c r="AM124" s="106">
        <f t="shared" si="78"/>
        <v>0</v>
      </c>
      <c r="AN124" s="107">
        <f t="shared" si="66"/>
        <v>0.2535</v>
      </c>
      <c r="AO124" s="105">
        <f t="shared" si="79"/>
        <v>0.00930111872941113</v>
      </c>
      <c r="AP124" s="106">
        <f t="shared" si="54"/>
        <v>0.055944</v>
      </c>
      <c r="AQ124" s="107">
        <f t="shared" si="67"/>
        <v>0.0099</v>
      </c>
      <c r="AR124" s="105">
        <f t="shared" si="68"/>
        <v>0.327857633710411</v>
      </c>
      <c r="AS124" s="106">
        <f t="shared" si="69"/>
        <v>2.886</v>
      </c>
      <c r="AT124" s="107">
        <f t="shared" si="70"/>
        <v>89.7986261036741</v>
      </c>
    </row>
    <row r="125" spans="17:46">
      <c r="Q125">
        <v>118</v>
      </c>
      <c r="R125" s="105">
        <f t="shared" si="43"/>
        <v>3.7</v>
      </c>
      <c r="S125" s="106">
        <f t="shared" si="71"/>
        <v>0.786666666666667</v>
      </c>
      <c r="T125" s="106">
        <f t="shared" si="45"/>
        <v>3</v>
      </c>
      <c r="U125" s="107">
        <f t="shared" si="72"/>
        <v>0.970222222222222</v>
      </c>
      <c r="V125" s="105">
        <f t="shared" si="73"/>
        <v>2</v>
      </c>
      <c r="W125" s="106">
        <f t="shared" si="74"/>
        <v>0.552238805970149</v>
      </c>
      <c r="X125" s="107">
        <f t="shared" si="75"/>
        <v>0.447761194029851</v>
      </c>
      <c r="Y125" s="105">
        <f t="shared" si="55"/>
        <v>0.236673773987207</v>
      </c>
      <c r="Z125" s="106">
        <f t="shared" si="56"/>
        <v>1.9935626628761</v>
      </c>
      <c r="AA125" s="106">
        <f t="shared" si="57"/>
        <v>0.972624816378309</v>
      </c>
      <c r="AB125" s="106">
        <v>0</v>
      </c>
      <c r="AC125" s="106">
        <f t="shared" si="58"/>
        <v>0.0094599903343494</v>
      </c>
      <c r="AD125" s="107">
        <f t="shared" si="59"/>
        <v>0.0094599903343494</v>
      </c>
      <c r="AE125" s="105">
        <f t="shared" si="60"/>
        <v>0.421491564400221</v>
      </c>
      <c r="AF125" s="106">
        <f t="shared" si="61"/>
        <v>0.972624816378309</v>
      </c>
      <c r="AG125" s="106">
        <f t="shared" si="76"/>
        <v>0.00766259217082301</v>
      </c>
      <c r="AH125" s="106">
        <f t="shared" si="77"/>
        <v>-0.00839251419144578</v>
      </c>
      <c r="AI125" s="107">
        <f t="shared" si="62"/>
        <v>-0.000729922020622768</v>
      </c>
      <c r="AJ125" s="105">
        <f t="shared" si="63"/>
        <v>0.786666666666667</v>
      </c>
      <c r="AK125" s="106">
        <f t="shared" si="64"/>
        <v>1.25563914571131</v>
      </c>
      <c r="AL125" s="106">
        <f t="shared" si="65"/>
        <v>0.255666666666667</v>
      </c>
      <c r="AM125" s="106">
        <f t="shared" si="78"/>
        <v>0</v>
      </c>
      <c r="AN125" s="107">
        <f t="shared" si="66"/>
        <v>0.255666666666667</v>
      </c>
      <c r="AO125" s="105">
        <f t="shared" si="79"/>
        <v>0.0094599903343494</v>
      </c>
      <c r="AP125" s="106">
        <f t="shared" si="54"/>
        <v>0.055944</v>
      </c>
      <c r="AQ125" s="107">
        <f t="shared" si="67"/>
        <v>0.0099</v>
      </c>
      <c r="AR125" s="105">
        <f t="shared" si="68"/>
        <v>0.330240734980393</v>
      </c>
      <c r="AS125" s="106">
        <f t="shared" si="69"/>
        <v>2.91066666666667</v>
      </c>
      <c r="AT125" s="107">
        <f t="shared" si="70"/>
        <v>89.8102384902277</v>
      </c>
    </row>
    <row r="126" spans="17:46">
      <c r="Q126">
        <v>119</v>
      </c>
      <c r="R126" s="105">
        <f t="shared" si="43"/>
        <v>3.7</v>
      </c>
      <c r="S126" s="106">
        <f t="shared" si="71"/>
        <v>0.793333333333333</v>
      </c>
      <c r="T126" s="106">
        <f t="shared" si="45"/>
        <v>3</v>
      </c>
      <c r="U126" s="107">
        <f t="shared" si="72"/>
        <v>0.978444444444444</v>
      </c>
      <c r="V126" s="105">
        <f t="shared" si="73"/>
        <v>2</v>
      </c>
      <c r="W126" s="106">
        <f t="shared" si="74"/>
        <v>0.552238805970149</v>
      </c>
      <c r="X126" s="107">
        <f t="shared" si="75"/>
        <v>0.447761194029851</v>
      </c>
      <c r="Y126" s="105">
        <f t="shared" si="55"/>
        <v>0.236673773987207</v>
      </c>
      <c r="Z126" s="106">
        <f t="shared" si="56"/>
        <v>2.00845155176498</v>
      </c>
      <c r="AA126" s="106">
        <f t="shared" si="57"/>
        <v>0.980826897982162</v>
      </c>
      <c r="AB126" s="106">
        <v>0</v>
      </c>
      <c r="AC126" s="106">
        <f t="shared" si="58"/>
        <v>0.0096202140380531</v>
      </c>
      <c r="AD126" s="107">
        <f t="shared" si="59"/>
        <v>0.0096202140380531</v>
      </c>
      <c r="AE126" s="105">
        <f t="shared" si="60"/>
        <v>0.428665760088447</v>
      </c>
      <c r="AF126" s="106">
        <f t="shared" si="61"/>
        <v>0.980826897982162</v>
      </c>
      <c r="AG126" s="106">
        <f t="shared" si="76"/>
        <v>0.00779237337082301</v>
      </c>
      <c r="AH126" s="106">
        <f t="shared" si="77"/>
        <v>-0.0084636371930682</v>
      </c>
      <c r="AI126" s="107">
        <f t="shared" si="62"/>
        <v>-0.000671263822245194</v>
      </c>
      <c r="AJ126" s="105">
        <f t="shared" si="63"/>
        <v>0.793333333333333</v>
      </c>
      <c r="AK126" s="106">
        <f t="shared" si="64"/>
        <v>1.26559548586702</v>
      </c>
      <c r="AL126" s="106">
        <f t="shared" si="65"/>
        <v>0.257833333333333</v>
      </c>
      <c r="AM126" s="106">
        <f t="shared" si="78"/>
        <v>0</v>
      </c>
      <c r="AN126" s="107">
        <f t="shared" si="66"/>
        <v>0.257833333333333</v>
      </c>
      <c r="AO126" s="105">
        <f t="shared" si="79"/>
        <v>0.0096202140380531</v>
      </c>
      <c r="AP126" s="106">
        <f t="shared" si="54"/>
        <v>0.055944</v>
      </c>
      <c r="AQ126" s="107">
        <f t="shared" si="67"/>
        <v>0.0099</v>
      </c>
      <c r="AR126" s="105">
        <f t="shared" si="68"/>
        <v>0.332626283549141</v>
      </c>
      <c r="AS126" s="106">
        <f t="shared" si="69"/>
        <v>2.93533333333333</v>
      </c>
      <c r="AT126" s="107">
        <f t="shared" si="70"/>
        <v>89.8215913736885</v>
      </c>
    </row>
    <row r="127" spans="17:46">
      <c r="Q127">
        <v>120</v>
      </c>
      <c r="R127" s="105">
        <f t="shared" si="43"/>
        <v>3.7</v>
      </c>
      <c r="S127" s="106">
        <f t="shared" si="71"/>
        <v>0.8</v>
      </c>
      <c r="T127" s="106">
        <f t="shared" si="45"/>
        <v>3</v>
      </c>
      <c r="U127" s="107">
        <f t="shared" si="72"/>
        <v>0.986666666666667</v>
      </c>
      <c r="V127" s="105">
        <f t="shared" si="73"/>
        <v>2</v>
      </c>
      <c r="W127" s="106">
        <f t="shared" si="74"/>
        <v>0.552238805970149</v>
      </c>
      <c r="X127" s="107">
        <f t="shared" si="75"/>
        <v>0.447761194029851</v>
      </c>
      <c r="Y127" s="105">
        <f t="shared" si="55"/>
        <v>0.236673773987207</v>
      </c>
      <c r="Z127" s="106">
        <f t="shared" si="56"/>
        <v>2.02334044065387</v>
      </c>
      <c r="AA127" s="106">
        <f t="shared" si="57"/>
        <v>0.989029314051016</v>
      </c>
      <c r="AB127" s="106">
        <v>0</v>
      </c>
      <c r="AC127" s="106">
        <f t="shared" si="58"/>
        <v>0.00978178984052223</v>
      </c>
      <c r="AD127" s="107">
        <f t="shared" si="59"/>
        <v>0.00978178984052223</v>
      </c>
      <c r="AE127" s="105">
        <f t="shared" si="60"/>
        <v>0.435900497512438</v>
      </c>
      <c r="AF127" s="106">
        <f t="shared" si="61"/>
        <v>0.989029314051016</v>
      </c>
      <c r="AG127" s="106">
        <f t="shared" si="76"/>
        <v>0.00792324977082301</v>
      </c>
      <c r="AH127" s="106">
        <f t="shared" si="77"/>
        <v>-0.00853476019469063</v>
      </c>
      <c r="AI127" s="107">
        <f t="shared" si="62"/>
        <v>-0.000611510423867615</v>
      </c>
      <c r="AJ127" s="105">
        <f t="shared" si="63"/>
        <v>0.8</v>
      </c>
      <c r="AK127" s="106">
        <f t="shared" si="64"/>
        <v>1.27555192837056</v>
      </c>
      <c r="AL127" s="106">
        <f t="shared" si="65"/>
        <v>0.26</v>
      </c>
      <c r="AM127" s="106">
        <f t="shared" si="78"/>
        <v>0</v>
      </c>
      <c r="AN127" s="107">
        <f t="shared" si="66"/>
        <v>0.26</v>
      </c>
      <c r="AO127" s="105">
        <f t="shared" si="79"/>
        <v>0.00978178984052223</v>
      </c>
      <c r="AP127" s="106">
        <f t="shared" si="54"/>
        <v>0.055944</v>
      </c>
      <c r="AQ127" s="107">
        <f t="shared" si="67"/>
        <v>0.0099</v>
      </c>
      <c r="AR127" s="105">
        <f t="shared" si="68"/>
        <v>0.335014279416655</v>
      </c>
      <c r="AS127" s="106">
        <f t="shared" si="69"/>
        <v>2.96</v>
      </c>
      <c r="AT127" s="107">
        <f t="shared" si="70"/>
        <v>89.8326911203564</v>
      </c>
    </row>
    <row r="128" spans="17:46">
      <c r="Q128">
        <v>121</v>
      </c>
      <c r="R128" s="105">
        <f t="shared" si="43"/>
        <v>3.7</v>
      </c>
      <c r="S128" s="106">
        <f t="shared" si="71"/>
        <v>0.806666666666667</v>
      </c>
      <c r="T128" s="106">
        <f t="shared" si="45"/>
        <v>3</v>
      </c>
      <c r="U128" s="107">
        <f t="shared" si="72"/>
        <v>0.994888888888889</v>
      </c>
      <c r="V128" s="105">
        <f t="shared" si="73"/>
        <v>2</v>
      </c>
      <c r="W128" s="106">
        <f t="shared" si="74"/>
        <v>0.552238805970149</v>
      </c>
      <c r="X128" s="107">
        <f t="shared" si="75"/>
        <v>0.447761194029851</v>
      </c>
      <c r="Y128" s="105">
        <f t="shared" si="55"/>
        <v>0.236673773987207</v>
      </c>
      <c r="Z128" s="106">
        <f t="shared" si="56"/>
        <v>2.03822932954276</v>
      </c>
      <c r="AA128" s="106">
        <f t="shared" si="57"/>
        <v>0.997232056331765</v>
      </c>
      <c r="AB128" s="106">
        <v>0</v>
      </c>
      <c r="AC128" s="106">
        <f t="shared" si="58"/>
        <v>0.0099447177417568</v>
      </c>
      <c r="AD128" s="107">
        <f t="shared" si="59"/>
        <v>0.0099447177417568</v>
      </c>
      <c r="AE128" s="105">
        <f t="shared" si="60"/>
        <v>0.443195776672195</v>
      </c>
      <c r="AF128" s="106">
        <f t="shared" si="61"/>
        <v>0.997232056331765</v>
      </c>
      <c r="AG128" s="106">
        <f t="shared" si="76"/>
        <v>0.00805522137082301</v>
      </c>
      <c r="AH128" s="106">
        <f t="shared" si="77"/>
        <v>-0.00860588319631305</v>
      </c>
      <c r="AI128" s="107">
        <f t="shared" si="62"/>
        <v>-0.000550661825490037</v>
      </c>
      <c r="AJ128" s="105">
        <f t="shared" si="63"/>
        <v>0.806666666666667</v>
      </c>
      <c r="AK128" s="106">
        <f t="shared" si="64"/>
        <v>1.28550847084384</v>
      </c>
      <c r="AL128" s="106">
        <f t="shared" si="65"/>
        <v>0.262166666666667</v>
      </c>
      <c r="AM128" s="106">
        <f t="shared" si="78"/>
        <v>0</v>
      </c>
      <c r="AN128" s="107">
        <f t="shared" si="66"/>
        <v>0.262166666666667</v>
      </c>
      <c r="AO128" s="105">
        <f t="shared" si="79"/>
        <v>0.0099447177417568</v>
      </c>
      <c r="AP128" s="106">
        <f t="shared" si="54"/>
        <v>0.055944</v>
      </c>
      <c r="AQ128" s="107">
        <f t="shared" si="67"/>
        <v>0.0099</v>
      </c>
      <c r="AR128" s="105">
        <f t="shared" si="68"/>
        <v>0.337404722582934</v>
      </c>
      <c r="AS128" s="106">
        <f t="shared" si="69"/>
        <v>2.98466666666667</v>
      </c>
      <c r="AT128" s="107">
        <f t="shared" si="70"/>
        <v>89.843543890273</v>
      </c>
    </row>
    <row r="129" spans="17:46">
      <c r="Q129">
        <v>122</v>
      </c>
      <c r="R129" s="105">
        <f t="shared" si="43"/>
        <v>3.7</v>
      </c>
      <c r="S129" s="106">
        <f t="shared" si="71"/>
        <v>0.813333333333333</v>
      </c>
      <c r="T129" s="106">
        <f t="shared" si="45"/>
        <v>3</v>
      </c>
      <c r="U129" s="107">
        <f t="shared" si="72"/>
        <v>1.00311111111111</v>
      </c>
      <c r="V129" s="105">
        <f t="shared" si="73"/>
        <v>2</v>
      </c>
      <c r="W129" s="106">
        <f t="shared" si="74"/>
        <v>0.552238805970149</v>
      </c>
      <c r="X129" s="107">
        <f t="shared" si="75"/>
        <v>0.447761194029851</v>
      </c>
      <c r="Y129" s="105">
        <f t="shared" si="55"/>
        <v>0.236673773987207</v>
      </c>
      <c r="Z129" s="106">
        <f t="shared" si="56"/>
        <v>2.05311821843165</v>
      </c>
      <c r="AA129" s="106">
        <f t="shared" si="57"/>
        <v>1.00543511684031</v>
      </c>
      <c r="AB129" s="106">
        <v>0</v>
      </c>
      <c r="AC129" s="106">
        <f t="shared" si="58"/>
        <v>0.0101089977417568</v>
      </c>
      <c r="AD129" s="107">
        <f t="shared" si="59"/>
        <v>0.0101089977417568</v>
      </c>
      <c r="AE129" s="105">
        <f t="shared" si="60"/>
        <v>0.450551597567717</v>
      </c>
      <c r="AF129" s="106">
        <f t="shared" si="61"/>
        <v>1.00543511684031</v>
      </c>
      <c r="AG129" s="106">
        <f t="shared" si="76"/>
        <v>0.00818828817082301</v>
      </c>
      <c r="AH129" s="106">
        <f t="shared" si="77"/>
        <v>-0.00867700619793547</v>
      </c>
      <c r="AI129" s="107">
        <f t="shared" si="62"/>
        <v>-0.000488718027112457</v>
      </c>
      <c r="AJ129" s="105">
        <f t="shared" si="63"/>
        <v>0.813333333333333</v>
      </c>
      <c r="AK129" s="106">
        <f t="shared" si="64"/>
        <v>1.29546511098183</v>
      </c>
      <c r="AL129" s="106">
        <f t="shared" si="65"/>
        <v>0.264333333333333</v>
      </c>
      <c r="AM129" s="106">
        <f t="shared" si="78"/>
        <v>0</v>
      </c>
      <c r="AN129" s="107">
        <f t="shared" si="66"/>
        <v>0.264333333333333</v>
      </c>
      <c r="AO129" s="105">
        <f t="shared" si="79"/>
        <v>0.0101089977417568</v>
      </c>
      <c r="AP129" s="106">
        <f t="shared" si="54"/>
        <v>0.055944</v>
      </c>
      <c r="AQ129" s="107">
        <f t="shared" si="67"/>
        <v>0.0099</v>
      </c>
      <c r="AR129" s="105">
        <f t="shared" si="68"/>
        <v>0.339797613047978</v>
      </c>
      <c r="AS129" s="106">
        <f t="shared" si="69"/>
        <v>3.00933333333333</v>
      </c>
      <c r="AT129" s="107">
        <f t="shared" si="70"/>
        <v>89.8541556455078</v>
      </c>
    </row>
    <row r="130" spans="17:46">
      <c r="Q130">
        <v>123</v>
      </c>
      <c r="R130" s="105">
        <f t="shared" si="43"/>
        <v>3.7</v>
      </c>
      <c r="S130" s="106">
        <f t="shared" si="71"/>
        <v>0.82</v>
      </c>
      <c r="T130" s="106">
        <f t="shared" si="45"/>
        <v>3</v>
      </c>
      <c r="U130" s="107">
        <f t="shared" si="72"/>
        <v>1.01133333333333</v>
      </c>
      <c r="V130" s="105">
        <f t="shared" si="73"/>
        <v>2</v>
      </c>
      <c r="W130" s="106">
        <f t="shared" si="74"/>
        <v>0.552238805970149</v>
      </c>
      <c r="X130" s="107">
        <f t="shared" si="75"/>
        <v>0.447761194029851</v>
      </c>
      <c r="Y130" s="105">
        <f t="shared" si="55"/>
        <v>0.236673773987207</v>
      </c>
      <c r="Z130" s="106">
        <f t="shared" si="56"/>
        <v>2.06800710732054</v>
      </c>
      <c r="AA130" s="106">
        <f t="shared" si="57"/>
        <v>1.01363848785069</v>
      </c>
      <c r="AB130" s="106">
        <v>0</v>
      </c>
      <c r="AC130" s="106">
        <f t="shared" si="58"/>
        <v>0.0102746298405222</v>
      </c>
      <c r="AD130" s="107">
        <f t="shared" si="59"/>
        <v>0.0102746298405222</v>
      </c>
      <c r="AE130" s="105">
        <f t="shared" si="60"/>
        <v>0.457967960199005</v>
      </c>
      <c r="AF130" s="106">
        <f t="shared" si="61"/>
        <v>1.01363848785069</v>
      </c>
      <c r="AG130" s="106">
        <f t="shared" si="76"/>
        <v>0.00832245017082301</v>
      </c>
      <c r="AH130" s="106">
        <f t="shared" si="77"/>
        <v>-0.00874812919955789</v>
      </c>
      <c r="AI130" s="107">
        <f t="shared" si="62"/>
        <v>-0.000425679028734879</v>
      </c>
      <c r="AJ130" s="105">
        <f t="shared" si="63"/>
        <v>0.82</v>
      </c>
      <c r="AK130" s="106">
        <f t="shared" si="64"/>
        <v>1.30542184654985</v>
      </c>
      <c r="AL130" s="106">
        <f t="shared" si="65"/>
        <v>0.2665</v>
      </c>
      <c r="AM130" s="106">
        <f t="shared" si="78"/>
        <v>0</v>
      </c>
      <c r="AN130" s="107">
        <f t="shared" si="66"/>
        <v>0.2665</v>
      </c>
      <c r="AO130" s="105">
        <f t="shared" si="79"/>
        <v>0.0102746298405222</v>
      </c>
      <c r="AP130" s="106">
        <f t="shared" si="54"/>
        <v>0.055944</v>
      </c>
      <c r="AQ130" s="107">
        <f t="shared" si="67"/>
        <v>0.0099</v>
      </c>
      <c r="AR130" s="105">
        <f t="shared" si="68"/>
        <v>0.342192950811787</v>
      </c>
      <c r="AS130" s="106">
        <f t="shared" si="69"/>
        <v>3.034</v>
      </c>
      <c r="AT130" s="107">
        <f t="shared" si="70"/>
        <v>89.8645321580478</v>
      </c>
    </row>
    <row r="131" spans="17:46">
      <c r="Q131">
        <v>124</v>
      </c>
      <c r="R131" s="105">
        <f t="shared" si="43"/>
        <v>3.7</v>
      </c>
      <c r="S131" s="106">
        <f t="shared" si="71"/>
        <v>0.826666666666667</v>
      </c>
      <c r="T131" s="106">
        <f t="shared" si="45"/>
        <v>3</v>
      </c>
      <c r="U131" s="107">
        <f t="shared" si="72"/>
        <v>1.01955555555556</v>
      </c>
      <c r="V131" s="105">
        <f t="shared" si="73"/>
        <v>2</v>
      </c>
      <c r="W131" s="106">
        <f t="shared" si="74"/>
        <v>0.552238805970149</v>
      </c>
      <c r="X131" s="107">
        <f t="shared" si="75"/>
        <v>0.447761194029851</v>
      </c>
      <c r="Y131" s="105">
        <f t="shared" si="55"/>
        <v>0.236673773987207</v>
      </c>
      <c r="Z131" s="106">
        <f t="shared" si="56"/>
        <v>2.08289599620943</v>
      </c>
      <c r="AA131" s="106">
        <f t="shared" si="57"/>
        <v>1.02184216188476</v>
      </c>
      <c r="AB131" s="106">
        <v>0</v>
      </c>
      <c r="AC131" s="106">
        <f t="shared" si="58"/>
        <v>0.0104416140380531</v>
      </c>
      <c r="AD131" s="107">
        <f t="shared" si="59"/>
        <v>0.0104416140380531</v>
      </c>
      <c r="AE131" s="105">
        <f t="shared" si="60"/>
        <v>0.465444864566059</v>
      </c>
      <c r="AF131" s="106">
        <f t="shared" si="61"/>
        <v>1.02184216188476</v>
      </c>
      <c r="AG131" s="106">
        <f t="shared" si="76"/>
        <v>0.00845770737082301</v>
      </c>
      <c r="AH131" s="106">
        <f t="shared" si="77"/>
        <v>-0.00881925220118031</v>
      </c>
      <c r="AI131" s="107">
        <f t="shared" si="62"/>
        <v>-0.000361544830357304</v>
      </c>
      <c r="AJ131" s="105">
        <f t="shared" si="63"/>
        <v>0.826666666666667</v>
      </c>
      <c r="AK131" s="106">
        <f t="shared" si="64"/>
        <v>1.31537867538081</v>
      </c>
      <c r="AL131" s="106">
        <f t="shared" si="65"/>
        <v>0.268666666666667</v>
      </c>
      <c r="AM131" s="106">
        <f t="shared" si="78"/>
        <v>0</v>
      </c>
      <c r="AN131" s="107">
        <f t="shared" si="66"/>
        <v>0.268666666666667</v>
      </c>
      <c r="AO131" s="105">
        <f t="shared" si="79"/>
        <v>0.0104416140380531</v>
      </c>
      <c r="AP131" s="106">
        <f t="shared" si="54"/>
        <v>0.055944</v>
      </c>
      <c r="AQ131" s="107">
        <f t="shared" si="67"/>
        <v>0.0099</v>
      </c>
      <c r="AR131" s="105">
        <f t="shared" si="68"/>
        <v>0.344590735874363</v>
      </c>
      <c r="AS131" s="106">
        <f t="shared" si="69"/>
        <v>3.05866666666667</v>
      </c>
      <c r="AT131" s="107">
        <f t="shared" si="70"/>
        <v>89.8746790173122</v>
      </c>
    </row>
    <row r="132" spans="17:46">
      <c r="Q132">
        <v>125</v>
      </c>
      <c r="R132" s="105">
        <f t="shared" si="43"/>
        <v>3.7</v>
      </c>
      <c r="S132" s="106">
        <f t="shared" si="71"/>
        <v>0.833333333333333</v>
      </c>
      <c r="T132" s="106">
        <f t="shared" si="45"/>
        <v>3</v>
      </c>
      <c r="U132" s="107">
        <f t="shared" si="72"/>
        <v>1.02777777777778</v>
      </c>
      <c r="V132" s="105">
        <f t="shared" si="73"/>
        <v>2</v>
      </c>
      <c r="W132" s="106">
        <f t="shared" si="74"/>
        <v>0.552238805970149</v>
      </c>
      <c r="X132" s="107">
        <f t="shared" si="75"/>
        <v>0.447761194029851</v>
      </c>
      <c r="Y132" s="105">
        <f t="shared" si="55"/>
        <v>0.236673773987207</v>
      </c>
      <c r="Z132" s="106">
        <f t="shared" si="56"/>
        <v>2.09778488509832</v>
      </c>
      <c r="AA132" s="106">
        <f t="shared" si="57"/>
        <v>1.03004613170233</v>
      </c>
      <c r="AB132" s="106">
        <v>0</v>
      </c>
      <c r="AC132" s="106">
        <f t="shared" si="58"/>
        <v>0.0106099503343494</v>
      </c>
      <c r="AD132" s="107">
        <f t="shared" si="59"/>
        <v>0.0106099503343494</v>
      </c>
      <c r="AE132" s="105">
        <f t="shared" si="60"/>
        <v>0.472982310668878</v>
      </c>
      <c r="AF132" s="106">
        <f t="shared" si="61"/>
        <v>1.03004613170233</v>
      </c>
      <c r="AG132" s="106">
        <f t="shared" si="76"/>
        <v>0.00859405977082301</v>
      </c>
      <c r="AH132" s="106">
        <f t="shared" si="77"/>
        <v>-0.00889037520280274</v>
      </c>
      <c r="AI132" s="107">
        <f t="shared" si="62"/>
        <v>-0.000296315431979725</v>
      </c>
      <c r="AJ132" s="105">
        <f t="shared" si="63"/>
        <v>0.833333333333333</v>
      </c>
      <c r="AK132" s="106">
        <f t="shared" si="64"/>
        <v>1.32533559537275</v>
      </c>
      <c r="AL132" s="106">
        <f t="shared" si="65"/>
        <v>0.270833333333333</v>
      </c>
      <c r="AM132" s="106">
        <f t="shared" si="78"/>
        <v>0</v>
      </c>
      <c r="AN132" s="107">
        <f t="shared" si="66"/>
        <v>0.270833333333333</v>
      </c>
      <c r="AO132" s="105">
        <f t="shared" si="79"/>
        <v>0.0106099503343494</v>
      </c>
      <c r="AP132" s="106">
        <f t="shared" si="54"/>
        <v>0.055944</v>
      </c>
      <c r="AQ132" s="107">
        <f t="shared" si="67"/>
        <v>0.0099</v>
      </c>
      <c r="AR132" s="105">
        <f t="shared" si="68"/>
        <v>0.346990968235703</v>
      </c>
      <c r="AS132" s="106">
        <f t="shared" si="69"/>
        <v>3.08333333333333</v>
      </c>
      <c r="AT132" s="107">
        <f t="shared" si="70"/>
        <v>89.8846016373149</v>
      </c>
    </row>
    <row r="133" spans="17:46">
      <c r="Q133">
        <v>126</v>
      </c>
      <c r="R133" s="105">
        <f t="shared" si="43"/>
        <v>3.7</v>
      </c>
      <c r="S133" s="106">
        <f t="shared" si="71"/>
        <v>0.84</v>
      </c>
      <c r="T133" s="106">
        <f t="shared" si="45"/>
        <v>3</v>
      </c>
      <c r="U133" s="107">
        <f t="shared" si="72"/>
        <v>1.036</v>
      </c>
      <c r="V133" s="105">
        <f t="shared" si="73"/>
        <v>2</v>
      </c>
      <c r="W133" s="106">
        <f t="shared" si="74"/>
        <v>0.552238805970149</v>
      </c>
      <c r="X133" s="107">
        <f t="shared" si="75"/>
        <v>0.447761194029851</v>
      </c>
      <c r="Y133" s="105">
        <f t="shared" si="55"/>
        <v>0.236673773987207</v>
      </c>
      <c r="Z133" s="106">
        <f t="shared" si="56"/>
        <v>2.11267377398721</v>
      </c>
      <c r="AA133" s="106">
        <f t="shared" si="57"/>
        <v>1.03825039029182</v>
      </c>
      <c r="AB133" s="106">
        <v>0</v>
      </c>
      <c r="AC133" s="106">
        <f t="shared" si="58"/>
        <v>0.0107796387294111</v>
      </c>
      <c r="AD133" s="107">
        <f t="shared" si="59"/>
        <v>0.0107796387294111</v>
      </c>
      <c r="AE133" s="105">
        <f t="shared" si="60"/>
        <v>0.480580298507463</v>
      </c>
      <c r="AF133" s="106">
        <f t="shared" si="61"/>
        <v>1.03825039029182</v>
      </c>
      <c r="AG133" s="106">
        <f t="shared" si="76"/>
        <v>0.00873150737082301</v>
      </c>
      <c r="AH133" s="106">
        <f t="shared" si="77"/>
        <v>-0.00896149820442516</v>
      </c>
      <c r="AI133" s="107">
        <f t="shared" si="62"/>
        <v>-0.000229990833602147</v>
      </c>
      <c r="AJ133" s="105">
        <f t="shared" si="63"/>
        <v>0.84</v>
      </c>
      <c r="AK133" s="106">
        <f t="shared" si="64"/>
        <v>1.33529260448638</v>
      </c>
      <c r="AL133" s="106">
        <f t="shared" si="65"/>
        <v>0.273</v>
      </c>
      <c r="AM133" s="106">
        <f t="shared" si="78"/>
        <v>0</v>
      </c>
      <c r="AN133" s="107">
        <f t="shared" si="66"/>
        <v>0.273</v>
      </c>
      <c r="AO133" s="105">
        <f t="shared" si="79"/>
        <v>0.0107796387294111</v>
      </c>
      <c r="AP133" s="106">
        <f t="shared" si="54"/>
        <v>0.055944</v>
      </c>
      <c r="AQ133" s="107">
        <f t="shared" si="67"/>
        <v>0.0099</v>
      </c>
      <c r="AR133" s="105">
        <f t="shared" si="68"/>
        <v>0.349393647895809</v>
      </c>
      <c r="AS133" s="106">
        <f t="shared" si="69"/>
        <v>3.108</v>
      </c>
      <c r="AT133" s="107">
        <f t="shared" si="70"/>
        <v>89.8943052634908</v>
      </c>
    </row>
    <row r="134" spans="17:46">
      <c r="Q134">
        <v>127</v>
      </c>
      <c r="R134" s="105">
        <f t="shared" si="43"/>
        <v>3.7</v>
      </c>
      <c r="S134" s="106">
        <f t="shared" si="71"/>
        <v>0.846666666666667</v>
      </c>
      <c r="T134" s="106">
        <f t="shared" si="45"/>
        <v>3</v>
      </c>
      <c r="U134" s="107">
        <f t="shared" si="72"/>
        <v>1.04422222222222</v>
      </c>
      <c r="V134" s="105">
        <f t="shared" si="73"/>
        <v>2</v>
      </c>
      <c r="W134" s="106">
        <f t="shared" si="74"/>
        <v>0.552238805970149</v>
      </c>
      <c r="X134" s="107">
        <f t="shared" si="75"/>
        <v>0.447761194029851</v>
      </c>
      <c r="Y134" s="105">
        <f t="shared" si="55"/>
        <v>0.236673773987207</v>
      </c>
      <c r="Z134" s="106">
        <f t="shared" si="56"/>
        <v>2.1275626628761</v>
      </c>
      <c r="AA134" s="106">
        <f t="shared" si="57"/>
        <v>1.04645493086125</v>
      </c>
      <c r="AB134" s="106">
        <v>0</v>
      </c>
      <c r="AC134" s="106">
        <f t="shared" si="58"/>
        <v>0.0109506792232383</v>
      </c>
      <c r="AD134" s="107">
        <f t="shared" si="59"/>
        <v>0.0109506792232383</v>
      </c>
      <c r="AE134" s="105">
        <f t="shared" si="60"/>
        <v>0.488238828081813</v>
      </c>
      <c r="AF134" s="106">
        <f t="shared" si="61"/>
        <v>1.04645493086125</v>
      </c>
      <c r="AG134" s="106">
        <f t="shared" si="76"/>
        <v>0.00887005017082301</v>
      </c>
      <c r="AH134" s="106">
        <f t="shared" si="77"/>
        <v>-0.00903262120604758</v>
      </c>
      <c r="AI134" s="107">
        <f t="shared" si="62"/>
        <v>-0.00016257103522457</v>
      </c>
      <c r="AJ134" s="105">
        <f t="shared" si="63"/>
        <v>0.846666666666667</v>
      </c>
      <c r="AK134" s="106">
        <f t="shared" si="64"/>
        <v>1.34524970074278</v>
      </c>
      <c r="AL134" s="106">
        <f t="shared" si="65"/>
        <v>0.275166666666667</v>
      </c>
      <c r="AM134" s="106">
        <f t="shared" si="78"/>
        <v>0</v>
      </c>
      <c r="AN134" s="107">
        <f t="shared" si="66"/>
        <v>0.275166666666667</v>
      </c>
      <c r="AO134" s="105">
        <f t="shared" si="79"/>
        <v>0.0109506792232383</v>
      </c>
      <c r="AP134" s="106">
        <f t="shared" si="54"/>
        <v>0.055944</v>
      </c>
      <c r="AQ134" s="107">
        <f t="shared" si="67"/>
        <v>0.0099</v>
      </c>
      <c r="AR134" s="105">
        <f t="shared" si="68"/>
        <v>0.35179877485468</v>
      </c>
      <c r="AS134" s="106">
        <f t="shared" si="69"/>
        <v>3.13266666666667</v>
      </c>
      <c r="AT134" s="107">
        <f t="shared" si="70"/>
        <v>89.9037949792069</v>
      </c>
    </row>
    <row r="135" spans="17:46">
      <c r="Q135">
        <v>128</v>
      </c>
      <c r="R135" s="105">
        <f t="shared" ref="R135:R157" si="80">VOUT</f>
        <v>3.7</v>
      </c>
      <c r="S135" s="106">
        <f t="shared" ref="S135:S157" si="81">Q135*$O$12</f>
        <v>0.853333333333333</v>
      </c>
      <c r="T135" s="106">
        <f t="shared" ref="T135:T157" si="82">VIN_var</f>
        <v>3</v>
      </c>
      <c r="U135" s="107">
        <f t="shared" ref="U135:U157" si="83">(R135*S135)/(T135*EFF_est)</f>
        <v>1.05244444444444</v>
      </c>
      <c r="V135" s="105">
        <f t="shared" ref="V135:V157" si="84">IF(S135&lt;((T135^2)*R135)/(2*Fsw*Lm*((T135+R135)^2)),1,2)</f>
        <v>2</v>
      </c>
      <c r="W135" s="106">
        <f t="shared" ref="W135:W157" si="85">CHOOSE(V135,SQRT(2*Lm*R135*S135*Fsw)/T135,R135/(T135+R135))</f>
        <v>0.552238805970149</v>
      </c>
      <c r="X135" s="107">
        <f t="shared" ref="X135:X157" si="86">CHOOSE(V135,(Lm*Z135*Fsw)/(R135),1-W135)</f>
        <v>0.447761194029851</v>
      </c>
      <c r="Y135" s="105">
        <f t="shared" si="55"/>
        <v>0.236673773987207</v>
      </c>
      <c r="Z135" s="106">
        <f t="shared" si="56"/>
        <v>2.14245155176498</v>
      </c>
      <c r="AA135" s="106">
        <f t="shared" si="57"/>
        <v>1.0546597468298</v>
      </c>
      <c r="AB135" s="106">
        <v>0</v>
      </c>
      <c r="AC135" s="106">
        <f t="shared" si="58"/>
        <v>0.0111230718158309</v>
      </c>
      <c r="AD135" s="107">
        <f t="shared" si="59"/>
        <v>0.0111230718158309</v>
      </c>
      <c r="AE135" s="105">
        <f t="shared" si="60"/>
        <v>0.495957899391929</v>
      </c>
      <c r="AF135" s="106">
        <f t="shared" si="61"/>
        <v>1.0546597468298</v>
      </c>
      <c r="AG135" s="106">
        <f t="shared" ref="AG135:AG157" si="87">(AF135^2)*RDS_on</f>
        <v>0.00900968817082301</v>
      </c>
      <c r="AH135" s="106">
        <f t="shared" ref="AH135:AH157" si="88">(((R135+T135)*(U135+S135))/2)*Fsw*(tr_sw+tf_sw)</f>
        <v>-0.00910374420767</v>
      </c>
      <c r="AI135" s="107">
        <f t="shared" si="62"/>
        <v>-9.40560368469911e-5</v>
      </c>
      <c r="AJ135" s="105">
        <f t="shared" si="63"/>
        <v>0.853333333333333</v>
      </c>
      <c r="AK135" s="106">
        <f t="shared" si="64"/>
        <v>1.35520688222114</v>
      </c>
      <c r="AL135" s="106">
        <f t="shared" si="65"/>
        <v>0.277333333333333</v>
      </c>
      <c r="AM135" s="106">
        <f t="shared" ref="AM135:AM157" si="89">(R135+T135+Vd_rect)*Qrr*Fsw</f>
        <v>0</v>
      </c>
      <c r="AN135" s="107">
        <f t="shared" si="66"/>
        <v>0.277333333333333</v>
      </c>
      <c r="AO135" s="105">
        <f t="shared" ref="AO135:AO157" si="90">(AF135^2)*R_cs</f>
        <v>0.0111230718158309</v>
      </c>
      <c r="AP135" s="106">
        <f t="shared" ref="AP135:AP157" si="91">Qg_tot*Vcc*Fsw</f>
        <v>0.055944</v>
      </c>
      <c r="AQ135" s="107">
        <f t="shared" si="67"/>
        <v>0.0099</v>
      </c>
      <c r="AR135" s="105">
        <f t="shared" si="68"/>
        <v>0.354206349112317</v>
      </c>
      <c r="AS135" s="106">
        <f t="shared" si="69"/>
        <v>3.15733333333333</v>
      </c>
      <c r="AT135" s="107">
        <f t="shared" si="70"/>
        <v>89.913075711973</v>
      </c>
    </row>
    <row r="136" spans="17:46">
      <c r="Q136">
        <v>129</v>
      </c>
      <c r="R136" s="105">
        <f t="shared" si="80"/>
        <v>3.7</v>
      </c>
      <c r="S136" s="106">
        <f t="shared" si="81"/>
        <v>0.86</v>
      </c>
      <c r="T136" s="106">
        <f t="shared" si="82"/>
        <v>3</v>
      </c>
      <c r="U136" s="107">
        <f t="shared" si="83"/>
        <v>1.06066666666667</v>
      </c>
      <c r="V136" s="105">
        <f t="shared" si="84"/>
        <v>2</v>
      </c>
      <c r="W136" s="106">
        <f t="shared" si="85"/>
        <v>0.552238805970149</v>
      </c>
      <c r="X136" s="107">
        <f t="shared" si="86"/>
        <v>0.447761194029851</v>
      </c>
      <c r="Y136" s="105">
        <f t="shared" ref="Y136:Y157" si="92">(T136*W136)/(Lm*Fsw)</f>
        <v>0.236673773987207</v>
      </c>
      <c r="Z136" s="106">
        <f t="shared" ref="Z136:Z157" si="93">CHOOSE(V136,Y136,U136+S136+(Y136))</f>
        <v>2.15734044065387</v>
      </c>
      <c r="AA136" s="106">
        <f t="shared" ref="AA136:AA157" si="94">CHOOSE(V136,Z136*SQRT((W136+X136)/3),SQRT((U136^2)+((Y136^2)/12)))</f>
        <v>1.06286483181959</v>
      </c>
      <c r="AB136" s="106">
        <v>0</v>
      </c>
      <c r="AC136" s="106">
        <f t="shared" ref="AC136:AC157" si="95">(AA136^2)*Rdcr</f>
        <v>0.0112968165071889</v>
      </c>
      <c r="AD136" s="107">
        <f t="shared" ref="AD136:AD157" si="96">AB136+AC136</f>
        <v>0.0112968165071889</v>
      </c>
      <c r="AE136" s="105">
        <f t="shared" ref="AE136:AE157" si="97">U136*S136*W136</f>
        <v>0.503737512437811</v>
      </c>
      <c r="AF136" s="106">
        <f t="shared" ref="AF136:AF157" si="98">AA136</f>
        <v>1.06286483181959</v>
      </c>
      <c r="AG136" s="106">
        <f t="shared" si="87"/>
        <v>0.00915042137082301</v>
      </c>
      <c r="AH136" s="106">
        <f t="shared" si="88"/>
        <v>-0.00917486720929242</v>
      </c>
      <c r="AI136" s="107">
        <f t="shared" ref="AI136:AI157" si="99">AG136+AH136</f>
        <v>-2.44458384694134e-5</v>
      </c>
      <c r="AJ136" s="105">
        <f t="shared" ref="AJ136:AJ157" si="100">S136</f>
        <v>0.86</v>
      </c>
      <c r="AK136" s="106">
        <f t="shared" ref="AK136:AK157" si="101">CHOOSE(V136,Z136*SQRT(X136/3),SQRT(X136*((Z136^2)+((Y136^2)/3)-(Y136*Z136))))</f>
        <v>1.36516414705672</v>
      </c>
      <c r="AL136" s="106">
        <f t="shared" ref="AL136:AL157" si="102">S136*Vd_rect</f>
        <v>0.2795</v>
      </c>
      <c r="AM136" s="106">
        <f t="shared" si="89"/>
        <v>0</v>
      </c>
      <c r="AN136" s="107">
        <f t="shared" ref="AN136:AN157" si="103">AL136+AM136</f>
        <v>0.2795</v>
      </c>
      <c r="AO136" s="105">
        <f t="shared" si="90"/>
        <v>0.0112968165071889</v>
      </c>
      <c r="AP136" s="106">
        <f t="shared" si="91"/>
        <v>0.055944</v>
      </c>
      <c r="AQ136" s="107">
        <f t="shared" ref="AQ136:AQ157" si="104">IQ*T136</f>
        <v>0.0099</v>
      </c>
      <c r="AR136" s="105">
        <f t="shared" ref="AR136:AR157" si="105">AO136+AN136+AI136+AP136+AQ136</f>
        <v>0.35661637066872</v>
      </c>
      <c r="AS136" s="106">
        <f t="shared" ref="AS136:AS157" si="106">R136*S136</f>
        <v>3.182</v>
      </c>
      <c r="AT136" s="107">
        <f t="shared" ref="AT136:AT157" si="107">(AS136/(AS136+AR136))*100</f>
        <v>89.9221522393701</v>
      </c>
    </row>
    <row r="137" spans="17:46">
      <c r="Q137">
        <v>130</v>
      </c>
      <c r="R137" s="105">
        <f t="shared" si="80"/>
        <v>3.7</v>
      </c>
      <c r="S137" s="106">
        <f t="shared" si="81"/>
        <v>0.866666666666667</v>
      </c>
      <c r="T137" s="106">
        <f t="shared" si="82"/>
        <v>3</v>
      </c>
      <c r="U137" s="107">
        <f t="shared" si="83"/>
        <v>1.06888888888889</v>
      </c>
      <c r="V137" s="105">
        <f t="shared" si="84"/>
        <v>2</v>
      </c>
      <c r="W137" s="106">
        <f t="shared" si="85"/>
        <v>0.552238805970149</v>
      </c>
      <c r="X137" s="107">
        <f t="shared" si="86"/>
        <v>0.447761194029851</v>
      </c>
      <c r="Y137" s="105">
        <f t="shared" si="92"/>
        <v>0.236673773987207</v>
      </c>
      <c r="Z137" s="106">
        <f t="shared" si="93"/>
        <v>2.17222932954276</v>
      </c>
      <c r="AA137" s="106">
        <f t="shared" si="94"/>
        <v>1.07107017964802</v>
      </c>
      <c r="AB137" s="106">
        <v>0</v>
      </c>
      <c r="AC137" s="106">
        <f t="shared" si="95"/>
        <v>0.0114719132973124</v>
      </c>
      <c r="AD137" s="107">
        <f t="shared" si="96"/>
        <v>0.0114719132973124</v>
      </c>
      <c r="AE137" s="105">
        <f t="shared" si="97"/>
        <v>0.511577667219458</v>
      </c>
      <c r="AF137" s="106">
        <f t="shared" si="98"/>
        <v>1.07107017964802</v>
      </c>
      <c r="AG137" s="106">
        <f t="shared" si="87"/>
        <v>0.00929224977082301</v>
      </c>
      <c r="AH137" s="106">
        <f t="shared" si="88"/>
        <v>-0.00924599021091484</v>
      </c>
      <c r="AI137" s="107">
        <f t="shared" si="99"/>
        <v>4.62595599081683e-5</v>
      </c>
      <c r="AJ137" s="105">
        <f t="shared" si="100"/>
        <v>0.866666666666667</v>
      </c>
      <c r="AK137" s="106">
        <f t="shared" si="101"/>
        <v>1.37512149343873</v>
      </c>
      <c r="AL137" s="106">
        <f t="shared" si="102"/>
        <v>0.281666666666667</v>
      </c>
      <c r="AM137" s="106">
        <f t="shared" si="89"/>
        <v>0</v>
      </c>
      <c r="AN137" s="107">
        <f t="shared" si="103"/>
        <v>0.281666666666667</v>
      </c>
      <c r="AO137" s="105">
        <f t="shared" si="90"/>
        <v>0.0114719132973124</v>
      </c>
      <c r="AP137" s="106">
        <f t="shared" si="91"/>
        <v>0.055944</v>
      </c>
      <c r="AQ137" s="107">
        <f t="shared" si="104"/>
        <v>0.0099</v>
      </c>
      <c r="AR137" s="105">
        <f t="shared" si="105"/>
        <v>0.359028839523887</v>
      </c>
      <c r="AS137" s="106">
        <f t="shared" si="106"/>
        <v>3.20666666666667</v>
      </c>
      <c r="AT137" s="107">
        <f t="shared" si="107"/>
        <v>89.9310291947094</v>
      </c>
    </row>
    <row r="138" spans="17:46">
      <c r="Q138">
        <v>131</v>
      </c>
      <c r="R138" s="105">
        <f t="shared" si="80"/>
        <v>3.7</v>
      </c>
      <c r="S138" s="106">
        <f t="shared" si="81"/>
        <v>0.873333333333333</v>
      </c>
      <c r="T138" s="106">
        <f t="shared" si="82"/>
        <v>3</v>
      </c>
      <c r="U138" s="107">
        <f t="shared" si="83"/>
        <v>1.07711111111111</v>
      </c>
      <c r="V138" s="105">
        <f t="shared" si="84"/>
        <v>2</v>
      </c>
      <c r="W138" s="106">
        <f t="shared" si="85"/>
        <v>0.552238805970149</v>
      </c>
      <c r="X138" s="107">
        <f t="shared" si="86"/>
        <v>0.447761194029851</v>
      </c>
      <c r="Y138" s="105">
        <f t="shared" si="92"/>
        <v>0.236673773987207</v>
      </c>
      <c r="Z138" s="106">
        <f t="shared" si="93"/>
        <v>2.18711821843165</v>
      </c>
      <c r="AA138" s="106">
        <f t="shared" si="94"/>
        <v>1.07927578432027</v>
      </c>
      <c r="AB138" s="106">
        <v>0</v>
      </c>
      <c r="AC138" s="106">
        <f t="shared" si="95"/>
        <v>0.0116483621862012</v>
      </c>
      <c r="AD138" s="107">
        <f t="shared" si="96"/>
        <v>0.0116483621862012</v>
      </c>
      <c r="AE138" s="105">
        <f t="shared" si="97"/>
        <v>0.519478363736871</v>
      </c>
      <c r="AF138" s="106">
        <f t="shared" si="98"/>
        <v>1.07927578432027</v>
      </c>
      <c r="AG138" s="106">
        <f t="shared" si="87"/>
        <v>0.00943517337082301</v>
      </c>
      <c r="AH138" s="106">
        <f t="shared" si="88"/>
        <v>-0.00931711321253726</v>
      </c>
      <c r="AI138" s="107">
        <f t="shared" si="99"/>
        <v>0.000118060158285744</v>
      </c>
      <c r="AJ138" s="105">
        <f t="shared" si="100"/>
        <v>0.873333333333333</v>
      </c>
      <c r="AK138" s="106">
        <f t="shared" si="101"/>
        <v>1.38507891960846</v>
      </c>
      <c r="AL138" s="106">
        <f t="shared" si="102"/>
        <v>0.283833333333333</v>
      </c>
      <c r="AM138" s="106">
        <f t="shared" si="89"/>
        <v>0</v>
      </c>
      <c r="AN138" s="107">
        <f t="shared" si="103"/>
        <v>0.283833333333333</v>
      </c>
      <c r="AO138" s="105">
        <f t="shared" si="90"/>
        <v>0.0116483621862012</v>
      </c>
      <c r="AP138" s="106">
        <f t="shared" si="91"/>
        <v>0.055944</v>
      </c>
      <c r="AQ138" s="107">
        <f t="shared" si="104"/>
        <v>0.0099</v>
      </c>
      <c r="AR138" s="105">
        <f t="shared" si="105"/>
        <v>0.36144375567782</v>
      </c>
      <c r="AS138" s="106">
        <f t="shared" si="106"/>
        <v>3.23133333333333</v>
      </c>
      <c r="AT138" s="107">
        <f t="shared" si="107"/>
        <v>89.9397110724367</v>
      </c>
    </row>
    <row r="139" spans="17:46">
      <c r="Q139">
        <v>132</v>
      </c>
      <c r="R139" s="105">
        <f t="shared" si="80"/>
        <v>3.7</v>
      </c>
      <c r="S139" s="106">
        <f t="shared" si="81"/>
        <v>0.88</v>
      </c>
      <c r="T139" s="106">
        <f t="shared" si="82"/>
        <v>3</v>
      </c>
      <c r="U139" s="107">
        <f t="shared" si="83"/>
        <v>1.08533333333333</v>
      </c>
      <c r="V139" s="105">
        <f t="shared" si="84"/>
        <v>2</v>
      </c>
      <c r="W139" s="106">
        <f t="shared" si="85"/>
        <v>0.552238805970149</v>
      </c>
      <c r="X139" s="107">
        <f t="shared" si="86"/>
        <v>0.447761194029851</v>
      </c>
      <c r="Y139" s="105">
        <f t="shared" si="92"/>
        <v>0.236673773987207</v>
      </c>
      <c r="Z139" s="106">
        <f t="shared" si="93"/>
        <v>2.20200710732054</v>
      </c>
      <c r="AA139" s="106">
        <f t="shared" si="94"/>
        <v>1.08748164002228</v>
      </c>
      <c r="AB139" s="106">
        <v>0</v>
      </c>
      <c r="AC139" s="106">
        <f t="shared" si="95"/>
        <v>0.0118261631738556</v>
      </c>
      <c r="AD139" s="107">
        <f t="shared" si="96"/>
        <v>0.0118261631738556</v>
      </c>
      <c r="AE139" s="105">
        <f t="shared" si="97"/>
        <v>0.52743960199005</v>
      </c>
      <c r="AF139" s="106">
        <f t="shared" si="98"/>
        <v>1.08748164002228</v>
      </c>
      <c r="AG139" s="106">
        <f t="shared" si="87"/>
        <v>0.00957919217082301</v>
      </c>
      <c r="AH139" s="106">
        <f t="shared" si="88"/>
        <v>-0.00938823621415969</v>
      </c>
      <c r="AI139" s="107">
        <f t="shared" si="99"/>
        <v>0.000190955956663321</v>
      </c>
      <c r="AJ139" s="105">
        <f t="shared" si="100"/>
        <v>0.88</v>
      </c>
      <c r="AK139" s="106">
        <f t="shared" si="101"/>
        <v>1.3950364238574</v>
      </c>
      <c r="AL139" s="106">
        <f t="shared" si="102"/>
        <v>0.286</v>
      </c>
      <c r="AM139" s="106">
        <f t="shared" si="89"/>
        <v>0</v>
      </c>
      <c r="AN139" s="107">
        <f t="shared" si="103"/>
        <v>0.286</v>
      </c>
      <c r="AO139" s="105">
        <f t="shared" si="90"/>
        <v>0.0118261631738556</v>
      </c>
      <c r="AP139" s="106">
        <f t="shared" si="91"/>
        <v>0.055944</v>
      </c>
      <c r="AQ139" s="107">
        <f t="shared" si="104"/>
        <v>0.0099</v>
      </c>
      <c r="AR139" s="105">
        <f t="shared" si="105"/>
        <v>0.363861119130519</v>
      </c>
      <c r="AS139" s="106">
        <f t="shared" si="106"/>
        <v>3.256</v>
      </c>
      <c r="AT139" s="107">
        <f t="shared" si="107"/>
        <v>89.9482022332968</v>
      </c>
    </row>
    <row r="140" spans="17:46">
      <c r="Q140">
        <v>133</v>
      </c>
      <c r="R140" s="105">
        <f t="shared" si="80"/>
        <v>3.7</v>
      </c>
      <c r="S140" s="106">
        <f t="shared" si="81"/>
        <v>0.886666666666667</v>
      </c>
      <c r="T140" s="106">
        <f t="shared" si="82"/>
        <v>3</v>
      </c>
      <c r="U140" s="107">
        <f t="shared" si="83"/>
        <v>1.09355555555556</v>
      </c>
      <c r="V140" s="105">
        <f t="shared" si="84"/>
        <v>2</v>
      </c>
      <c r="W140" s="106">
        <f t="shared" si="85"/>
        <v>0.552238805970149</v>
      </c>
      <c r="X140" s="107">
        <f t="shared" si="86"/>
        <v>0.447761194029851</v>
      </c>
      <c r="Y140" s="105">
        <f t="shared" si="92"/>
        <v>0.236673773987207</v>
      </c>
      <c r="Z140" s="106">
        <f t="shared" si="93"/>
        <v>2.21689599620943</v>
      </c>
      <c r="AA140" s="106">
        <f t="shared" si="94"/>
        <v>1.09568774111401</v>
      </c>
      <c r="AB140" s="106">
        <v>0</v>
      </c>
      <c r="AC140" s="106">
        <f t="shared" si="95"/>
        <v>0.0120053162602753</v>
      </c>
      <c r="AD140" s="107">
        <f t="shared" si="96"/>
        <v>0.0120053162602753</v>
      </c>
      <c r="AE140" s="105">
        <f t="shared" si="97"/>
        <v>0.535461381978994</v>
      </c>
      <c r="AF140" s="106">
        <f t="shared" si="98"/>
        <v>1.09568774111401</v>
      </c>
      <c r="AG140" s="106">
        <f t="shared" si="87"/>
        <v>0.00972430617082301</v>
      </c>
      <c r="AH140" s="106">
        <f t="shared" si="88"/>
        <v>-0.00945935921578211</v>
      </c>
      <c r="AI140" s="107">
        <f t="shared" si="99"/>
        <v>0.000264946955040901</v>
      </c>
      <c r="AJ140" s="105">
        <f t="shared" si="100"/>
        <v>0.886666666666667</v>
      </c>
      <c r="AK140" s="106">
        <f t="shared" si="101"/>
        <v>1.40499400452545</v>
      </c>
      <c r="AL140" s="106">
        <f t="shared" si="102"/>
        <v>0.288166666666667</v>
      </c>
      <c r="AM140" s="106">
        <f t="shared" si="89"/>
        <v>0</v>
      </c>
      <c r="AN140" s="107">
        <f t="shared" si="103"/>
        <v>0.288166666666667</v>
      </c>
      <c r="AO140" s="105">
        <f t="shared" si="90"/>
        <v>0.0120053162602753</v>
      </c>
      <c r="AP140" s="106">
        <f t="shared" si="91"/>
        <v>0.055944</v>
      </c>
      <c r="AQ140" s="107">
        <f t="shared" si="104"/>
        <v>0.0099</v>
      </c>
      <c r="AR140" s="105">
        <f t="shared" si="105"/>
        <v>0.366280929881983</v>
      </c>
      <c r="AS140" s="106">
        <f t="shared" si="106"/>
        <v>3.28066666666667</v>
      </c>
      <c r="AT140" s="107">
        <f t="shared" si="107"/>
        <v>89.9565069092679</v>
      </c>
    </row>
    <row r="141" spans="17:46">
      <c r="Q141">
        <v>134</v>
      </c>
      <c r="R141" s="105">
        <f t="shared" si="80"/>
        <v>3.7</v>
      </c>
      <c r="S141" s="106">
        <f t="shared" si="81"/>
        <v>0.893333333333333</v>
      </c>
      <c r="T141" s="106">
        <f t="shared" si="82"/>
        <v>3</v>
      </c>
      <c r="U141" s="107">
        <f t="shared" si="83"/>
        <v>1.10177777777778</v>
      </c>
      <c r="V141" s="105">
        <f t="shared" si="84"/>
        <v>2</v>
      </c>
      <c r="W141" s="106">
        <f t="shared" si="85"/>
        <v>0.552238805970149</v>
      </c>
      <c r="X141" s="107">
        <f t="shared" si="86"/>
        <v>0.447761194029851</v>
      </c>
      <c r="Y141" s="105">
        <f t="shared" si="92"/>
        <v>0.236673773987207</v>
      </c>
      <c r="Z141" s="106">
        <f t="shared" si="93"/>
        <v>2.23178488509832</v>
      </c>
      <c r="AA141" s="106">
        <f t="shared" si="94"/>
        <v>1.10389408212294</v>
      </c>
      <c r="AB141" s="106">
        <v>0</v>
      </c>
      <c r="AC141" s="106">
        <f t="shared" si="95"/>
        <v>0.0121858214454605</v>
      </c>
      <c r="AD141" s="107">
        <f t="shared" si="96"/>
        <v>0.0121858214454605</v>
      </c>
      <c r="AE141" s="105">
        <f t="shared" si="97"/>
        <v>0.543543703703704</v>
      </c>
      <c r="AF141" s="106">
        <f t="shared" si="98"/>
        <v>1.10389408212294</v>
      </c>
      <c r="AG141" s="106">
        <f t="shared" si="87"/>
        <v>0.00987051537082301</v>
      </c>
      <c r="AH141" s="106">
        <f t="shared" si="88"/>
        <v>-0.00953048221740453</v>
      </c>
      <c r="AI141" s="107">
        <f t="shared" si="99"/>
        <v>0.000340033153418481</v>
      </c>
      <c r="AJ141" s="105">
        <f t="shared" si="100"/>
        <v>0.893333333333333</v>
      </c>
      <c r="AK141" s="106">
        <f t="shared" si="101"/>
        <v>1.41495165999924</v>
      </c>
      <c r="AL141" s="106">
        <f t="shared" si="102"/>
        <v>0.290333333333333</v>
      </c>
      <c r="AM141" s="106">
        <f t="shared" si="89"/>
        <v>0</v>
      </c>
      <c r="AN141" s="107">
        <f t="shared" si="103"/>
        <v>0.290333333333333</v>
      </c>
      <c r="AO141" s="105">
        <f t="shared" si="90"/>
        <v>0.0121858214454605</v>
      </c>
      <c r="AP141" s="106">
        <f t="shared" si="91"/>
        <v>0.055944</v>
      </c>
      <c r="AQ141" s="107">
        <f t="shared" si="104"/>
        <v>0.0099</v>
      </c>
      <c r="AR141" s="105">
        <f t="shared" si="105"/>
        <v>0.368703187932212</v>
      </c>
      <c r="AS141" s="106">
        <f t="shared" si="106"/>
        <v>3.30533333333333</v>
      </c>
      <c r="AT141" s="107">
        <f t="shared" si="107"/>
        <v>89.9646292082799</v>
      </c>
    </row>
    <row r="142" spans="17:46">
      <c r="Q142">
        <v>135</v>
      </c>
      <c r="R142" s="105">
        <f t="shared" si="80"/>
        <v>3.7</v>
      </c>
      <c r="S142" s="106">
        <f t="shared" si="81"/>
        <v>0.9</v>
      </c>
      <c r="T142" s="106">
        <f t="shared" si="82"/>
        <v>3</v>
      </c>
      <c r="U142" s="107">
        <f t="shared" si="83"/>
        <v>1.11</v>
      </c>
      <c r="V142" s="105">
        <f t="shared" si="84"/>
        <v>2</v>
      </c>
      <c r="W142" s="106">
        <f t="shared" si="85"/>
        <v>0.552238805970149</v>
      </c>
      <c r="X142" s="107">
        <f t="shared" si="86"/>
        <v>0.447761194029851</v>
      </c>
      <c r="Y142" s="105">
        <f t="shared" si="92"/>
        <v>0.236673773987207</v>
      </c>
      <c r="Z142" s="106">
        <f t="shared" si="93"/>
        <v>2.24667377398721</v>
      </c>
      <c r="AA142" s="106">
        <f t="shared" si="94"/>
        <v>1.11210065773792</v>
      </c>
      <c r="AB142" s="106">
        <v>0</v>
      </c>
      <c r="AC142" s="106">
        <f t="shared" si="95"/>
        <v>0.0123676787294111</v>
      </c>
      <c r="AD142" s="107">
        <f t="shared" si="96"/>
        <v>0.0123676787294111</v>
      </c>
      <c r="AE142" s="105">
        <f t="shared" si="97"/>
        <v>0.551686567164179</v>
      </c>
      <c r="AF142" s="106">
        <f t="shared" si="98"/>
        <v>1.11210065773792</v>
      </c>
      <c r="AG142" s="106">
        <f t="shared" si="87"/>
        <v>0.010017819770823</v>
      </c>
      <c r="AH142" s="106">
        <f t="shared" si="88"/>
        <v>-0.00960160521902695</v>
      </c>
      <c r="AI142" s="107">
        <f t="shared" si="99"/>
        <v>0.000416214551796055</v>
      </c>
      <c r="AJ142" s="105">
        <f t="shared" si="100"/>
        <v>0.9</v>
      </c>
      <c r="AK142" s="106">
        <f t="shared" si="101"/>
        <v>1.42490938871047</v>
      </c>
      <c r="AL142" s="106">
        <f t="shared" si="102"/>
        <v>0.2925</v>
      </c>
      <c r="AM142" s="106">
        <f t="shared" si="89"/>
        <v>0</v>
      </c>
      <c r="AN142" s="107">
        <f t="shared" si="103"/>
        <v>0.2925</v>
      </c>
      <c r="AO142" s="105">
        <f t="shared" si="90"/>
        <v>0.0123676787294111</v>
      </c>
      <c r="AP142" s="106">
        <f t="shared" si="91"/>
        <v>0.055944</v>
      </c>
      <c r="AQ142" s="107">
        <f t="shared" si="104"/>
        <v>0.0099</v>
      </c>
      <c r="AR142" s="105">
        <f t="shared" si="105"/>
        <v>0.371127893281207</v>
      </c>
      <c r="AS142" s="106">
        <f t="shared" si="106"/>
        <v>3.33</v>
      </c>
      <c r="AT142" s="107">
        <f t="shared" si="107"/>
        <v>89.9725731187261</v>
      </c>
    </row>
    <row r="143" spans="17:46">
      <c r="Q143">
        <v>136</v>
      </c>
      <c r="R143" s="105">
        <f t="shared" si="80"/>
        <v>3.7</v>
      </c>
      <c r="S143" s="106">
        <f t="shared" si="81"/>
        <v>0.906666666666667</v>
      </c>
      <c r="T143" s="106">
        <f t="shared" si="82"/>
        <v>3</v>
      </c>
      <c r="U143" s="107">
        <f t="shared" si="83"/>
        <v>1.11822222222222</v>
      </c>
      <c r="V143" s="105">
        <f t="shared" si="84"/>
        <v>2</v>
      </c>
      <c r="W143" s="106">
        <f t="shared" si="85"/>
        <v>0.552238805970149</v>
      </c>
      <c r="X143" s="107">
        <f t="shared" si="86"/>
        <v>0.447761194029851</v>
      </c>
      <c r="Y143" s="105">
        <f t="shared" si="92"/>
        <v>0.236673773987207</v>
      </c>
      <c r="Z143" s="106">
        <f t="shared" si="93"/>
        <v>2.2615626628761</v>
      </c>
      <c r="AA143" s="106">
        <f t="shared" si="94"/>
        <v>1.12030746280328</v>
      </c>
      <c r="AB143" s="106">
        <v>0</v>
      </c>
      <c r="AC143" s="106">
        <f t="shared" si="95"/>
        <v>0.0125508881121272</v>
      </c>
      <c r="AD143" s="107">
        <f t="shared" si="96"/>
        <v>0.0125508881121272</v>
      </c>
      <c r="AE143" s="105">
        <f t="shared" si="97"/>
        <v>0.55988997236042</v>
      </c>
      <c r="AF143" s="106">
        <f t="shared" si="98"/>
        <v>1.12030746280328</v>
      </c>
      <c r="AG143" s="106">
        <f t="shared" si="87"/>
        <v>0.010166219370823</v>
      </c>
      <c r="AH143" s="106">
        <f t="shared" si="88"/>
        <v>-0.00967272822064938</v>
      </c>
      <c r="AI143" s="107">
        <f t="shared" si="99"/>
        <v>0.000493491150173636</v>
      </c>
      <c r="AJ143" s="105">
        <f t="shared" si="100"/>
        <v>0.906666666666667</v>
      </c>
      <c r="AK143" s="106">
        <f t="shared" si="101"/>
        <v>1.43486718913439</v>
      </c>
      <c r="AL143" s="106">
        <f t="shared" si="102"/>
        <v>0.294666666666667</v>
      </c>
      <c r="AM143" s="106">
        <f t="shared" si="89"/>
        <v>0</v>
      </c>
      <c r="AN143" s="107">
        <f t="shared" si="103"/>
        <v>0.294666666666667</v>
      </c>
      <c r="AO143" s="105">
        <f t="shared" si="90"/>
        <v>0.0125508881121272</v>
      </c>
      <c r="AP143" s="106">
        <f t="shared" si="91"/>
        <v>0.055944</v>
      </c>
      <c r="AQ143" s="107">
        <f t="shared" si="104"/>
        <v>0.0099</v>
      </c>
      <c r="AR143" s="105">
        <f t="shared" si="105"/>
        <v>0.373555045928967</v>
      </c>
      <c r="AS143" s="106">
        <f t="shared" si="106"/>
        <v>3.35466666666667</v>
      </c>
      <c r="AT143" s="107">
        <f t="shared" si="107"/>
        <v>89.98034251378</v>
      </c>
    </row>
    <row r="144" spans="17:46">
      <c r="Q144">
        <v>137</v>
      </c>
      <c r="R144" s="105">
        <f t="shared" si="80"/>
        <v>3.7</v>
      </c>
      <c r="S144" s="106">
        <f t="shared" si="81"/>
        <v>0.913333333333333</v>
      </c>
      <c r="T144" s="106">
        <f t="shared" si="82"/>
        <v>3</v>
      </c>
      <c r="U144" s="107">
        <f t="shared" si="83"/>
        <v>1.12644444444444</v>
      </c>
      <c r="V144" s="105">
        <f t="shared" si="84"/>
        <v>2</v>
      </c>
      <c r="W144" s="106">
        <f t="shared" si="85"/>
        <v>0.552238805970149</v>
      </c>
      <c r="X144" s="107">
        <f t="shared" si="86"/>
        <v>0.447761194029851</v>
      </c>
      <c r="Y144" s="105">
        <f t="shared" si="92"/>
        <v>0.236673773987207</v>
      </c>
      <c r="Z144" s="106">
        <f t="shared" si="93"/>
        <v>2.27645155176498</v>
      </c>
      <c r="AA144" s="106">
        <f t="shared" si="94"/>
        <v>1.12851449231318</v>
      </c>
      <c r="AB144" s="106">
        <v>0</v>
      </c>
      <c r="AC144" s="106">
        <f t="shared" si="95"/>
        <v>0.0127354495936087</v>
      </c>
      <c r="AD144" s="107">
        <f t="shared" si="96"/>
        <v>0.0127354495936087</v>
      </c>
      <c r="AE144" s="105">
        <f t="shared" si="97"/>
        <v>0.568153919292427</v>
      </c>
      <c r="AF144" s="106">
        <f t="shared" si="98"/>
        <v>1.12851449231318</v>
      </c>
      <c r="AG144" s="106">
        <f t="shared" si="87"/>
        <v>0.010315714170823</v>
      </c>
      <c r="AH144" s="106">
        <f t="shared" si="88"/>
        <v>-0.0097438512222718</v>
      </c>
      <c r="AI144" s="107">
        <f t="shared" si="99"/>
        <v>0.000571862948551211</v>
      </c>
      <c r="AJ144" s="105">
        <f t="shared" si="100"/>
        <v>0.913333333333333</v>
      </c>
      <c r="AK144" s="106">
        <f t="shared" si="101"/>
        <v>1.44482505978825</v>
      </c>
      <c r="AL144" s="106">
        <f t="shared" si="102"/>
        <v>0.296833333333333</v>
      </c>
      <c r="AM144" s="106">
        <f t="shared" si="89"/>
        <v>0</v>
      </c>
      <c r="AN144" s="107">
        <f t="shared" si="103"/>
        <v>0.296833333333333</v>
      </c>
      <c r="AO144" s="105">
        <f t="shared" si="90"/>
        <v>0.0127354495936087</v>
      </c>
      <c r="AP144" s="106">
        <f t="shared" si="91"/>
        <v>0.055944</v>
      </c>
      <c r="AQ144" s="107">
        <f t="shared" si="104"/>
        <v>0.0099</v>
      </c>
      <c r="AR144" s="105">
        <f t="shared" si="105"/>
        <v>0.375984645875493</v>
      </c>
      <c r="AS144" s="106">
        <f t="shared" si="106"/>
        <v>3.37933333333333</v>
      </c>
      <c r="AT144" s="107">
        <f t="shared" si="107"/>
        <v>89.9879411555262</v>
      </c>
    </row>
    <row r="145" spans="17:46">
      <c r="Q145">
        <v>138</v>
      </c>
      <c r="R145" s="105">
        <f t="shared" si="80"/>
        <v>3.7</v>
      </c>
      <c r="S145" s="106">
        <f t="shared" si="81"/>
        <v>0.92</v>
      </c>
      <c r="T145" s="106">
        <f t="shared" si="82"/>
        <v>3</v>
      </c>
      <c r="U145" s="107">
        <f t="shared" si="83"/>
        <v>1.13466666666667</v>
      </c>
      <c r="V145" s="105">
        <f t="shared" si="84"/>
        <v>2</v>
      </c>
      <c r="W145" s="106">
        <f t="shared" si="85"/>
        <v>0.552238805970149</v>
      </c>
      <c r="X145" s="107">
        <f t="shared" si="86"/>
        <v>0.447761194029851</v>
      </c>
      <c r="Y145" s="105">
        <f t="shared" si="92"/>
        <v>0.236673773987207</v>
      </c>
      <c r="Z145" s="106">
        <f t="shared" si="93"/>
        <v>2.29134044065387</v>
      </c>
      <c r="AA145" s="106">
        <f t="shared" si="94"/>
        <v>1.13672174140621</v>
      </c>
      <c r="AB145" s="106">
        <v>0</v>
      </c>
      <c r="AC145" s="106">
        <f t="shared" si="95"/>
        <v>0.0129213631738556</v>
      </c>
      <c r="AD145" s="107">
        <f t="shared" si="96"/>
        <v>0.0129213631738556</v>
      </c>
      <c r="AE145" s="105">
        <f t="shared" si="97"/>
        <v>0.576478407960199</v>
      </c>
      <c r="AF145" s="106">
        <f t="shared" si="98"/>
        <v>1.13672174140621</v>
      </c>
      <c r="AG145" s="106">
        <f t="shared" si="87"/>
        <v>0.010466304170823</v>
      </c>
      <c r="AH145" s="106">
        <f t="shared" si="88"/>
        <v>-0.00981497422389422</v>
      </c>
      <c r="AI145" s="107">
        <f t="shared" si="99"/>
        <v>0.000651329946928793</v>
      </c>
      <c r="AJ145" s="105">
        <f t="shared" si="100"/>
        <v>0.92</v>
      </c>
      <c r="AK145" s="106">
        <f t="shared" si="101"/>
        <v>1.4547829992299</v>
      </c>
      <c r="AL145" s="106">
        <f t="shared" si="102"/>
        <v>0.299</v>
      </c>
      <c r="AM145" s="106">
        <f t="shared" si="89"/>
        <v>0</v>
      </c>
      <c r="AN145" s="107">
        <f t="shared" si="103"/>
        <v>0.299</v>
      </c>
      <c r="AO145" s="105">
        <f t="shared" si="90"/>
        <v>0.0129213631738556</v>
      </c>
      <c r="AP145" s="106">
        <f t="shared" si="91"/>
        <v>0.055944</v>
      </c>
      <c r="AQ145" s="107">
        <f t="shared" si="104"/>
        <v>0.0099</v>
      </c>
      <c r="AR145" s="105">
        <f t="shared" si="105"/>
        <v>0.378416693120784</v>
      </c>
      <c r="AS145" s="106">
        <f t="shared" si="106"/>
        <v>3.404</v>
      </c>
      <c r="AT145" s="107">
        <f t="shared" si="107"/>
        <v>89.9953726989143</v>
      </c>
    </row>
    <row r="146" spans="17:46">
      <c r="Q146">
        <v>139</v>
      </c>
      <c r="R146" s="105">
        <f t="shared" si="80"/>
        <v>3.7</v>
      </c>
      <c r="S146" s="106">
        <f t="shared" si="81"/>
        <v>0.926666666666667</v>
      </c>
      <c r="T146" s="106">
        <f t="shared" si="82"/>
        <v>3</v>
      </c>
      <c r="U146" s="107">
        <f t="shared" si="83"/>
        <v>1.14288888888889</v>
      </c>
      <c r="V146" s="105">
        <f t="shared" si="84"/>
        <v>2</v>
      </c>
      <c r="W146" s="106">
        <f t="shared" si="85"/>
        <v>0.552238805970149</v>
      </c>
      <c r="X146" s="107">
        <f t="shared" si="86"/>
        <v>0.447761194029851</v>
      </c>
      <c r="Y146" s="105">
        <f t="shared" si="92"/>
        <v>0.236673773987207</v>
      </c>
      <c r="Z146" s="106">
        <f t="shared" si="93"/>
        <v>2.30622932954276</v>
      </c>
      <c r="AA146" s="106">
        <f t="shared" si="94"/>
        <v>1.14492920536022</v>
      </c>
      <c r="AB146" s="106">
        <v>0</v>
      </c>
      <c r="AC146" s="106">
        <f t="shared" si="95"/>
        <v>0.0131086288528679</v>
      </c>
      <c r="AD146" s="107">
        <f t="shared" si="96"/>
        <v>0.0131086288528679</v>
      </c>
      <c r="AE146" s="105">
        <f t="shared" si="97"/>
        <v>0.584863438363737</v>
      </c>
      <c r="AF146" s="106">
        <f t="shared" si="98"/>
        <v>1.14492920536022</v>
      </c>
      <c r="AG146" s="106">
        <f t="shared" si="87"/>
        <v>0.010617989370823</v>
      </c>
      <c r="AH146" s="106">
        <f t="shared" si="88"/>
        <v>-0.00988609722551664</v>
      </c>
      <c r="AI146" s="107">
        <f t="shared" si="99"/>
        <v>0.000731892145306369</v>
      </c>
      <c r="AJ146" s="105">
        <f t="shared" si="100"/>
        <v>0.926666666666667</v>
      </c>
      <c r="AK146" s="106">
        <f t="shared" si="101"/>
        <v>1.46474100605638</v>
      </c>
      <c r="AL146" s="106">
        <f t="shared" si="102"/>
        <v>0.301166666666667</v>
      </c>
      <c r="AM146" s="106">
        <f t="shared" si="89"/>
        <v>0</v>
      </c>
      <c r="AN146" s="107">
        <f t="shared" si="103"/>
        <v>0.301166666666667</v>
      </c>
      <c r="AO146" s="105">
        <f t="shared" si="90"/>
        <v>0.0131086288528679</v>
      </c>
      <c r="AP146" s="106">
        <f t="shared" si="91"/>
        <v>0.055944</v>
      </c>
      <c r="AQ146" s="107">
        <f t="shared" si="104"/>
        <v>0.0099</v>
      </c>
      <c r="AR146" s="105">
        <f t="shared" si="105"/>
        <v>0.380851187664841</v>
      </c>
      <c r="AS146" s="106">
        <f t="shared" si="106"/>
        <v>3.42866666666667</v>
      </c>
      <c r="AT146" s="107">
        <f t="shared" si="107"/>
        <v>90.0026406955462</v>
      </c>
    </row>
    <row r="147" spans="17:46">
      <c r="Q147">
        <v>140</v>
      </c>
      <c r="R147" s="105">
        <f t="shared" si="80"/>
        <v>3.7</v>
      </c>
      <c r="S147" s="106">
        <f t="shared" si="81"/>
        <v>0.933333333333333</v>
      </c>
      <c r="T147" s="106">
        <f t="shared" si="82"/>
        <v>3</v>
      </c>
      <c r="U147" s="107">
        <f t="shared" si="83"/>
        <v>1.15111111111111</v>
      </c>
      <c r="V147" s="105">
        <f t="shared" si="84"/>
        <v>2</v>
      </c>
      <c r="W147" s="106">
        <f t="shared" si="85"/>
        <v>0.552238805970149</v>
      </c>
      <c r="X147" s="107">
        <f t="shared" si="86"/>
        <v>0.447761194029851</v>
      </c>
      <c r="Y147" s="105">
        <f t="shared" si="92"/>
        <v>0.236673773987207</v>
      </c>
      <c r="Z147" s="106">
        <f t="shared" si="93"/>
        <v>2.32111821843165</v>
      </c>
      <c r="AA147" s="106">
        <f t="shared" si="94"/>
        <v>1.1531368795874</v>
      </c>
      <c r="AB147" s="106">
        <v>0</v>
      </c>
      <c r="AC147" s="106">
        <f t="shared" si="95"/>
        <v>0.0132972466306457</v>
      </c>
      <c r="AD147" s="107">
        <f t="shared" si="96"/>
        <v>0.0132972466306457</v>
      </c>
      <c r="AE147" s="105">
        <f t="shared" si="97"/>
        <v>0.59330901050304</v>
      </c>
      <c r="AF147" s="106">
        <f t="shared" si="98"/>
        <v>1.1531368795874</v>
      </c>
      <c r="AG147" s="106">
        <f t="shared" si="87"/>
        <v>0.010770769770823</v>
      </c>
      <c r="AH147" s="106">
        <f t="shared" si="88"/>
        <v>-0.00995722022713906</v>
      </c>
      <c r="AI147" s="107">
        <f t="shared" si="99"/>
        <v>0.000813549543683949</v>
      </c>
      <c r="AJ147" s="105">
        <f t="shared" si="100"/>
        <v>0.933333333333333</v>
      </c>
      <c r="AK147" s="106">
        <f t="shared" si="101"/>
        <v>1.47469907890264</v>
      </c>
      <c r="AL147" s="106">
        <f t="shared" si="102"/>
        <v>0.303333333333333</v>
      </c>
      <c r="AM147" s="106">
        <f t="shared" si="89"/>
        <v>0</v>
      </c>
      <c r="AN147" s="107">
        <f t="shared" si="103"/>
        <v>0.303333333333333</v>
      </c>
      <c r="AO147" s="105">
        <f t="shared" si="90"/>
        <v>0.0132972466306457</v>
      </c>
      <c r="AP147" s="106">
        <f t="shared" si="91"/>
        <v>0.055944</v>
      </c>
      <c r="AQ147" s="107">
        <f t="shared" si="104"/>
        <v>0.0099</v>
      </c>
      <c r="AR147" s="105">
        <f t="shared" si="105"/>
        <v>0.383288129507663</v>
      </c>
      <c r="AS147" s="106">
        <f t="shared" si="106"/>
        <v>3.45333333333333</v>
      </c>
      <c r="AT147" s="107">
        <f t="shared" si="107"/>
        <v>90.0097485973026</v>
      </c>
    </row>
    <row r="148" spans="17:46">
      <c r="Q148">
        <v>141</v>
      </c>
      <c r="R148" s="105">
        <f t="shared" si="80"/>
        <v>3.7</v>
      </c>
      <c r="S148" s="106">
        <f t="shared" si="81"/>
        <v>0.94</v>
      </c>
      <c r="T148" s="106">
        <f t="shared" si="82"/>
        <v>3</v>
      </c>
      <c r="U148" s="107">
        <f t="shared" si="83"/>
        <v>1.15933333333333</v>
      </c>
      <c r="V148" s="105">
        <f t="shared" si="84"/>
        <v>2</v>
      </c>
      <c r="W148" s="106">
        <f t="shared" si="85"/>
        <v>0.552238805970149</v>
      </c>
      <c r="X148" s="107">
        <f t="shared" si="86"/>
        <v>0.447761194029851</v>
      </c>
      <c r="Y148" s="105">
        <f t="shared" si="92"/>
        <v>0.236673773987207</v>
      </c>
      <c r="Z148" s="106">
        <f t="shared" si="93"/>
        <v>2.33600710732054</v>
      </c>
      <c r="AA148" s="106">
        <f t="shared" si="94"/>
        <v>1.1613447596295</v>
      </c>
      <c r="AB148" s="106">
        <v>0</v>
      </c>
      <c r="AC148" s="106">
        <f t="shared" si="95"/>
        <v>0.0134872165071889</v>
      </c>
      <c r="AD148" s="107">
        <f t="shared" si="96"/>
        <v>0.0134872165071889</v>
      </c>
      <c r="AE148" s="105">
        <f t="shared" si="97"/>
        <v>0.60181512437811</v>
      </c>
      <c r="AF148" s="106">
        <f t="shared" si="98"/>
        <v>1.1613447596295</v>
      </c>
      <c r="AG148" s="106">
        <f t="shared" si="87"/>
        <v>0.010924645370823</v>
      </c>
      <c r="AH148" s="106">
        <f t="shared" si="88"/>
        <v>-0.0100283432287615</v>
      </c>
      <c r="AI148" s="107">
        <f t="shared" si="99"/>
        <v>0.000896302142061526</v>
      </c>
      <c r="AJ148" s="105">
        <f t="shared" si="100"/>
        <v>0.94</v>
      </c>
      <c r="AK148" s="106">
        <f t="shared" si="101"/>
        <v>1.48465721644024</v>
      </c>
      <c r="AL148" s="106">
        <f t="shared" si="102"/>
        <v>0.3055</v>
      </c>
      <c r="AM148" s="106">
        <f t="shared" si="89"/>
        <v>0</v>
      </c>
      <c r="AN148" s="107">
        <f t="shared" si="103"/>
        <v>0.3055</v>
      </c>
      <c r="AO148" s="105">
        <f t="shared" si="90"/>
        <v>0.0134872165071889</v>
      </c>
      <c r="AP148" s="106">
        <f t="shared" si="91"/>
        <v>0.055944</v>
      </c>
      <c r="AQ148" s="107">
        <f t="shared" si="104"/>
        <v>0.0099</v>
      </c>
      <c r="AR148" s="105">
        <f t="shared" si="105"/>
        <v>0.385727518649251</v>
      </c>
      <c r="AS148" s="106">
        <f t="shared" si="106"/>
        <v>3.478</v>
      </c>
      <c r="AT148" s="107">
        <f t="shared" si="107"/>
        <v>90.016699759819</v>
      </c>
    </row>
    <row r="149" spans="17:46">
      <c r="Q149">
        <v>142</v>
      </c>
      <c r="R149" s="105">
        <f t="shared" si="80"/>
        <v>3.7</v>
      </c>
      <c r="S149" s="106">
        <f t="shared" si="81"/>
        <v>0.946666666666667</v>
      </c>
      <c r="T149" s="106">
        <f t="shared" si="82"/>
        <v>3</v>
      </c>
      <c r="U149" s="107">
        <f t="shared" si="83"/>
        <v>1.16755555555556</v>
      </c>
      <c r="V149" s="105">
        <f t="shared" si="84"/>
        <v>2</v>
      </c>
      <c r="W149" s="106">
        <f t="shared" si="85"/>
        <v>0.552238805970149</v>
      </c>
      <c r="X149" s="107">
        <f t="shared" si="86"/>
        <v>0.447761194029851</v>
      </c>
      <c r="Y149" s="105">
        <f t="shared" si="92"/>
        <v>0.236673773987207</v>
      </c>
      <c r="Z149" s="106">
        <f t="shared" si="93"/>
        <v>2.35089599620943</v>
      </c>
      <c r="AA149" s="106">
        <f t="shared" si="94"/>
        <v>1.1695528411533</v>
      </c>
      <c r="AB149" s="106">
        <v>0</v>
      </c>
      <c r="AC149" s="106">
        <f t="shared" si="95"/>
        <v>0.0136785384824975</v>
      </c>
      <c r="AD149" s="107">
        <f t="shared" si="96"/>
        <v>0.0136785384824975</v>
      </c>
      <c r="AE149" s="105">
        <f t="shared" si="97"/>
        <v>0.610381779988944</v>
      </c>
      <c r="AF149" s="106">
        <f t="shared" si="98"/>
        <v>1.1695528411533</v>
      </c>
      <c r="AG149" s="106">
        <f t="shared" si="87"/>
        <v>0.011079616170823</v>
      </c>
      <c r="AH149" s="106">
        <f t="shared" si="88"/>
        <v>-0.0100994662303839</v>
      </c>
      <c r="AI149" s="107">
        <f t="shared" si="99"/>
        <v>0.000980149940439101</v>
      </c>
      <c r="AJ149" s="105">
        <f t="shared" si="100"/>
        <v>0.946666666666667</v>
      </c>
      <c r="AK149" s="106">
        <f t="shared" si="101"/>
        <v>1.49461541737611</v>
      </c>
      <c r="AL149" s="106">
        <f t="shared" si="102"/>
        <v>0.307666666666667</v>
      </c>
      <c r="AM149" s="106">
        <f t="shared" si="89"/>
        <v>0</v>
      </c>
      <c r="AN149" s="107">
        <f t="shared" si="103"/>
        <v>0.307666666666667</v>
      </c>
      <c r="AO149" s="105">
        <f t="shared" si="90"/>
        <v>0.0136785384824975</v>
      </c>
      <c r="AP149" s="106">
        <f t="shared" si="91"/>
        <v>0.055944</v>
      </c>
      <c r="AQ149" s="107">
        <f t="shared" si="104"/>
        <v>0.0099</v>
      </c>
      <c r="AR149" s="105">
        <f t="shared" si="105"/>
        <v>0.388169355089603</v>
      </c>
      <c r="AS149" s="106">
        <f t="shared" si="106"/>
        <v>3.50266666666667</v>
      </c>
      <c r="AT149" s="107">
        <f t="shared" si="107"/>
        <v>90.0234974458166</v>
      </c>
    </row>
    <row r="150" spans="17:46">
      <c r="Q150">
        <v>143</v>
      </c>
      <c r="R150" s="105">
        <f t="shared" si="80"/>
        <v>3.7</v>
      </c>
      <c r="S150" s="106">
        <f t="shared" si="81"/>
        <v>0.953333333333333</v>
      </c>
      <c r="T150" s="106">
        <f t="shared" si="82"/>
        <v>3</v>
      </c>
      <c r="U150" s="107">
        <f t="shared" si="83"/>
        <v>1.17577777777778</v>
      </c>
      <c r="V150" s="105">
        <f t="shared" si="84"/>
        <v>2</v>
      </c>
      <c r="W150" s="106">
        <f t="shared" si="85"/>
        <v>0.552238805970149</v>
      </c>
      <c r="X150" s="107">
        <f t="shared" si="86"/>
        <v>0.447761194029851</v>
      </c>
      <c r="Y150" s="105">
        <f t="shared" si="92"/>
        <v>0.236673773987207</v>
      </c>
      <c r="Z150" s="106">
        <f t="shared" si="93"/>
        <v>2.36578488509832</v>
      </c>
      <c r="AA150" s="106">
        <f t="shared" si="94"/>
        <v>1.1777611199463</v>
      </c>
      <c r="AB150" s="106">
        <v>0</v>
      </c>
      <c r="AC150" s="106">
        <f t="shared" si="95"/>
        <v>0.0138712125565716</v>
      </c>
      <c r="AD150" s="107">
        <f t="shared" si="96"/>
        <v>0.0138712125565716</v>
      </c>
      <c r="AE150" s="105">
        <f t="shared" si="97"/>
        <v>0.619008977335545</v>
      </c>
      <c r="AF150" s="106">
        <f t="shared" si="98"/>
        <v>1.1777611199463</v>
      </c>
      <c r="AG150" s="106">
        <f t="shared" si="87"/>
        <v>0.011235682170823</v>
      </c>
      <c r="AH150" s="106">
        <f t="shared" si="88"/>
        <v>-0.0101705892320063</v>
      </c>
      <c r="AI150" s="107">
        <f t="shared" si="99"/>
        <v>0.00106509293881668</v>
      </c>
      <c r="AJ150" s="105">
        <f t="shared" si="100"/>
        <v>0.953333333333333</v>
      </c>
      <c r="AK150" s="106">
        <f t="shared" si="101"/>
        <v>1.50457368045143</v>
      </c>
      <c r="AL150" s="106">
        <f t="shared" si="102"/>
        <v>0.309833333333333</v>
      </c>
      <c r="AM150" s="106">
        <f t="shared" si="89"/>
        <v>0</v>
      </c>
      <c r="AN150" s="107">
        <f t="shared" si="103"/>
        <v>0.309833333333333</v>
      </c>
      <c r="AO150" s="105">
        <f t="shared" si="90"/>
        <v>0.0138712125565716</v>
      </c>
      <c r="AP150" s="106">
        <f t="shared" si="91"/>
        <v>0.055944</v>
      </c>
      <c r="AQ150" s="107">
        <f t="shared" si="104"/>
        <v>0.0099</v>
      </c>
      <c r="AR150" s="105">
        <f t="shared" si="105"/>
        <v>0.390613638828722</v>
      </c>
      <c r="AS150" s="106">
        <f t="shared" si="106"/>
        <v>3.52733333333333</v>
      </c>
      <c r="AT150" s="107">
        <f t="shared" si="107"/>
        <v>90.0301448282959</v>
      </c>
    </row>
    <row r="151" spans="17:46">
      <c r="Q151">
        <v>144</v>
      </c>
      <c r="R151" s="105">
        <f t="shared" si="80"/>
        <v>3.7</v>
      </c>
      <c r="S151" s="106">
        <f t="shared" si="81"/>
        <v>0.96</v>
      </c>
      <c r="T151" s="106">
        <f t="shared" si="82"/>
        <v>3</v>
      </c>
      <c r="U151" s="107">
        <f t="shared" si="83"/>
        <v>1.184</v>
      </c>
      <c r="V151" s="105">
        <f t="shared" si="84"/>
        <v>2</v>
      </c>
      <c r="W151" s="106">
        <f t="shared" si="85"/>
        <v>0.552238805970149</v>
      </c>
      <c r="X151" s="107">
        <f t="shared" si="86"/>
        <v>0.447761194029851</v>
      </c>
      <c r="Y151" s="105">
        <f t="shared" si="92"/>
        <v>0.236673773987207</v>
      </c>
      <c r="Z151" s="106">
        <f t="shared" si="93"/>
        <v>2.38067377398721</v>
      </c>
      <c r="AA151" s="106">
        <f t="shared" si="94"/>
        <v>1.1859695919125</v>
      </c>
      <c r="AB151" s="106">
        <v>0</v>
      </c>
      <c r="AC151" s="106">
        <f t="shared" si="95"/>
        <v>0.0140652387294111</v>
      </c>
      <c r="AD151" s="107">
        <f t="shared" si="96"/>
        <v>0.0140652387294111</v>
      </c>
      <c r="AE151" s="105">
        <f t="shared" si="97"/>
        <v>0.627696716417911</v>
      </c>
      <c r="AF151" s="106">
        <f t="shared" si="98"/>
        <v>1.1859695919125</v>
      </c>
      <c r="AG151" s="106">
        <f t="shared" si="87"/>
        <v>0.011392843370823</v>
      </c>
      <c r="AH151" s="106">
        <f t="shared" si="88"/>
        <v>-0.0102417122336288</v>
      </c>
      <c r="AI151" s="107">
        <f t="shared" si="99"/>
        <v>0.00115113113719426</v>
      </c>
      <c r="AJ151" s="105">
        <f t="shared" si="100"/>
        <v>0.96</v>
      </c>
      <c r="AK151" s="106">
        <f t="shared" si="101"/>
        <v>1.51453200444048</v>
      </c>
      <c r="AL151" s="106">
        <f t="shared" si="102"/>
        <v>0.312</v>
      </c>
      <c r="AM151" s="106">
        <f t="shared" si="89"/>
        <v>0</v>
      </c>
      <c r="AN151" s="107">
        <f t="shared" si="103"/>
        <v>0.312</v>
      </c>
      <c r="AO151" s="105">
        <f t="shared" si="90"/>
        <v>0.0140652387294111</v>
      </c>
      <c r="AP151" s="106">
        <f t="shared" si="91"/>
        <v>0.055944</v>
      </c>
      <c r="AQ151" s="107">
        <f t="shared" si="104"/>
        <v>0.0099</v>
      </c>
      <c r="AR151" s="105">
        <f t="shared" si="105"/>
        <v>0.393060369866605</v>
      </c>
      <c r="AS151" s="106">
        <f t="shared" si="106"/>
        <v>3.552</v>
      </c>
      <c r="AT151" s="107">
        <f t="shared" si="107"/>
        <v>90.0366449936</v>
      </c>
    </row>
    <row r="152" spans="17:46">
      <c r="Q152">
        <v>145</v>
      </c>
      <c r="R152" s="105">
        <f t="shared" si="80"/>
        <v>3.7</v>
      </c>
      <c r="S152" s="106">
        <f t="shared" si="81"/>
        <v>0.966666666666667</v>
      </c>
      <c r="T152" s="106">
        <f t="shared" si="82"/>
        <v>3</v>
      </c>
      <c r="U152" s="107">
        <f t="shared" si="83"/>
        <v>1.19222222222222</v>
      </c>
      <c r="V152" s="105">
        <f t="shared" si="84"/>
        <v>2</v>
      </c>
      <c r="W152" s="106">
        <f t="shared" si="85"/>
        <v>0.552238805970149</v>
      </c>
      <c r="X152" s="107">
        <f t="shared" si="86"/>
        <v>0.447761194029851</v>
      </c>
      <c r="Y152" s="105">
        <f t="shared" si="92"/>
        <v>0.236673773987207</v>
      </c>
      <c r="Z152" s="106">
        <f t="shared" si="93"/>
        <v>2.3955626628761</v>
      </c>
      <c r="AA152" s="106">
        <f t="shared" si="94"/>
        <v>1.19417825306845</v>
      </c>
      <c r="AB152" s="106">
        <v>0</v>
      </c>
      <c r="AC152" s="106">
        <f t="shared" si="95"/>
        <v>0.0142606170010161</v>
      </c>
      <c r="AD152" s="107">
        <f t="shared" si="96"/>
        <v>0.0142606170010161</v>
      </c>
      <c r="AE152" s="105">
        <f t="shared" si="97"/>
        <v>0.636444997236042</v>
      </c>
      <c r="AF152" s="106">
        <f t="shared" si="98"/>
        <v>1.19417825306845</v>
      </c>
      <c r="AG152" s="106">
        <f t="shared" si="87"/>
        <v>0.011551099770823</v>
      </c>
      <c r="AH152" s="106">
        <f t="shared" si="88"/>
        <v>-0.0103128352352512</v>
      </c>
      <c r="AI152" s="107">
        <f t="shared" si="99"/>
        <v>0.00123826453557184</v>
      </c>
      <c r="AJ152" s="105">
        <f t="shared" si="100"/>
        <v>0.966666666666667</v>
      </c>
      <c r="AK152" s="106">
        <f t="shared" si="101"/>
        <v>1.52449038814954</v>
      </c>
      <c r="AL152" s="106">
        <f t="shared" si="102"/>
        <v>0.314166666666667</v>
      </c>
      <c r="AM152" s="106">
        <f t="shared" si="89"/>
        <v>0</v>
      </c>
      <c r="AN152" s="107">
        <f t="shared" si="103"/>
        <v>0.314166666666667</v>
      </c>
      <c r="AO152" s="105">
        <f t="shared" si="90"/>
        <v>0.0142606170010161</v>
      </c>
      <c r="AP152" s="106">
        <f t="shared" si="91"/>
        <v>0.055944</v>
      </c>
      <c r="AQ152" s="107">
        <f t="shared" si="104"/>
        <v>0.0099</v>
      </c>
      <c r="AR152" s="105">
        <f t="shared" si="105"/>
        <v>0.395509548203255</v>
      </c>
      <c r="AS152" s="106">
        <f t="shared" si="106"/>
        <v>3.57666666666667</v>
      </c>
      <c r="AT152" s="107">
        <f t="shared" si="107"/>
        <v>90.0430009443525</v>
      </c>
    </row>
    <row r="153" spans="17:46">
      <c r="Q153">
        <v>146</v>
      </c>
      <c r="R153" s="105">
        <f t="shared" si="80"/>
        <v>3.7</v>
      </c>
      <c r="S153" s="106">
        <f t="shared" si="81"/>
        <v>0.973333333333333</v>
      </c>
      <c r="T153" s="106">
        <f t="shared" si="82"/>
        <v>3</v>
      </c>
      <c r="U153" s="107">
        <f t="shared" si="83"/>
        <v>1.20044444444444</v>
      </c>
      <c r="V153" s="105">
        <f t="shared" si="84"/>
        <v>2</v>
      </c>
      <c r="W153" s="106">
        <f t="shared" si="85"/>
        <v>0.552238805970149</v>
      </c>
      <c r="X153" s="107">
        <f t="shared" si="86"/>
        <v>0.447761194029851</v>
      </c>
      <c r="Y153" s="105">
        <f t="shared" si="92"/>
        <v>0.236673773987207</v>
      </c>
      <c r="Z153" s="106">
        <f t="shared" si="93"/>
        <v>2.41045155176498</v>
      </c>
      <c r="AA153" s="106">
        <f t="shared" si="94"/>
        <v>1.20238709953935</v>
      </c>
      <c r="AB153" s="106">
        <v>0</v>
      </c>
      <c r="AC153" s="106">
        <f t="shared" si="95"/>
        <v>0.0144573473713864</v>
      </c>
      <c r="AD153" s="107">
        <f t="shared" si="96"/>
        <v>0.0144573473713864</v>
      </c>
      <c r="AE153" s="105">
        <f t="shared" si="97"/>
        <v>0.645253819789939</v>
      </c>
      <c r="AF153" s="106">
        <f t="shared" si="98"/>
        <v>1.20238709953935</v>
      </c>
      <c r="AG153" s="106">
        <f t="shared" si="87"/>
        <v>0.011710451370823</v>
      </c>
      <c r="AH153" s="106">
        <f t="shared" si="88"/>
        <v>-0.0103839582368736</v>
      </c>
      <c r="AI153" s="107">
        <f t="shared" si="99"/>
        <v>0.00132649313394942</v>
      </c>
      <c r="AJ153" s="105">
        <f t="shared" si="100"/>
        <v>0.973333333333333</v>
      </c>
      <c r="AK153" s="106">
        <f t="shared" si="101"/>
        <v>1.53444883041589</v>
      </c>
      <c r="AL153" s="106">
        <f t="shared" si="102"/>
        <v>0.316333333333333</v>
      </c>
      <c r="AM153" s="106">
        <f t="shared" si="89"/>
        <v>0</v>
      </c>
      <c r="AN153" s="107">
        <f t="shared" si="103"/>
        <v>0.316333333333333</v>
      </c>
      <c r="AO153" s="105">
        <f t="shared" si="90"/>
        <v>0.0144573473713864</v>
      </c>
      <c r="AP153" s="106">
        <f t="shared" si="91"/>
        <v>0.055944</v>
      </c>
      <c r="AQ153" s="107">
        <f t="shared" si="104"/>
        <v>0.0099</v>
      </c>
      <c r="AR153" s="105">
        <f t="shared" si="105"/>
        <v>0.397961173838669</v>
      </c>
      <c r="AS153" s="106">
        <f t="shared" si="106"/>
        <v>3.60133333333333</v>
      </c>
      <c r="AT153" s="107">
        <f t="shared" si="107"/>
        <v>90.0492156022769</v>
      </c>
    </row>
    <row r="154" spans="17:46">
      <c r="Q154">
        <v>147</v>
      </c>
      <c r="R154" s="105">
        <f t="shared" si="80"/>
        <v>3.7</v>
      </c>
      <c r="S154" s="106">
        <f t="shared" si="81"/>
        <v>0.98</v>
      </c>
      <c r="T154" s="106">
        <f t="shared" si="82"/>
        <v>3</v>
      </c>
      <c r="U154" s="107">
        <f t="shared" si="83"/>
        <v>1.20866666666667</v>
      </c>
      <c r="V154" s="105">
        <f t="shared" si="84"/>
        <v>2</v>
      </c>
      <c r="W154" s="106">
        <f t="shared" si="85"/>
        <v>0.552238805970149</v>
      </c>
      <c r="X154" s="107">
        <f t="shared" si="86"/>
        <v>0.447761194029851</v>
      </c>
      <c r="Y154" s="105">
        <f t="shared" si="92"/>
        <v>0.236673773987207</v>
      </c>
      <c r="Z154" s="106">
        <f t="shared" si="93"/>
        <v>2.42534044065387</v>
      </c>
      <c r="AA154" s="106">
        <f t="shared" si="94"/>
        <v>1.21059612755544</v>
      </c>
      <c r="AB154" s="106">
        <v>0</v>
      </c>
      <c r="AC154" s="106">
        <f t="shared" si="95"/>
        <v>0.0146554298405222</v>
      </c>
      <c r="AD154" s="107">
        <f t="shared" si="96"/>
        <v>0.0146554298405222</v>
      </c>
      <c r="AE154" s="105">
        <f t="shared" si="97"/>
        <v>0.654123184079602</v>
      </c>
      <c r="AF154" s="106">
        <f t="shared" si="98"/>
        <v>1.21059612755544</v>
      </c>
      <c r="AG154" s="106">
        <f t="shared" si="87"/>
        <v>0.011870898170823</v>
      </c>
      <c r="AH154" s="106">
        <f t="shared" si="88"/>
        <v>-0.010455081238496</v>
      </c>
      <c r="AI154" s="107">
        <f t="shared" si="99"/>
        <v>0.00141581693232699</v>
      </c>
      <c r="AJ154" s="105">
        <f t="shared" si="100"/>
        <v>0.98</v>
      </c>
      <c r="AK154" s="106">
        <f t="shared" si="101"/>
        <v>1.54440733010678</v>
      </c>
      <c r="AL154" s="106">
        <f t="shared" si="102"/>
        <v>0.3185</v>
      </c>
      <c r="AM154" s="106">
        <f t="shared" si="89"/>
        <v>0</v>
      </c>
      <c r="AN154" s="107">
        <f t="shared" si="103"/>
        <v>0.3185</v>
      </c>
      <c r="AO154" s="105">
        <f t="shared" si="90"/>
        <v>0.0146554298405222</v>
      </c>
      <c r="AP154" s="106">
        <f t="shared" si="91"/>
        <v>0.055944</v>
      </c>
      <c r="AQ154" s="107">
        <f t="shared" si="104"/>
        <v>0.0099</v>
      </c>
      <c r="AR154" s="105">
        <f t="shared" si="105"/>
        <v>0.400415246772849</v>
      </c>
      <c r="AS154" s="106">
        <f t="shared" si="106"/>
        <v>3.626</v>
      </c>
      <c r="AT154" s="107">
        <f t="shared" si="107"/>
        <v>90.0552918109035</v>
      </c>
    </row>
    <row r="155" spans="17:46">
      <c r="Q155">
        <v>148</v>
      </c>
      <c r="R155" s="105">
        <f t="shared" si="80"/>
        <v>3.7</v>
      </c>
      <c r="S155" s="106">
        <f t="shared" si="81"/>
        <v>0.986666666666667</v>
      </c>
      <c r="T155" s="106">
        <f t="shared" si="82"/>
        <v>3</v>
      </c>
      <c r="U155" s="107">
        <f t="shared" si="83"/>
        <v>1.21688888888889</v>
      </c>
      <c r="V155" s="105">
        <f t="shared" si="84"/>
        <v>2</v>
      </c>
      <c r="W155" s="106">
        <f t="shared" si="85"/>
        <v>0.552238805970149</v>
      </c>
      <c r="X155" s="107">
        <f t="shared" si="86"/>
        <v>0.447761194029851</v>
      </c>
      <c r="Y155" s="105">
        <f t="shared" si="92"/>
        <v>0.236673773987207</v>
      </c>
      <c r="Z155" s="106">
        <f t="shared" si="93"/>
        <v>2.44022932954276</v>
      </c>
      <c r="AA155" s="106">
        <f t="shared" si="94"/>
        <v>1.21880533344843</v>
      </c>
      <c r="AB155" s="106">
        <v>0</v>
      </c>
      <c r="AC155" s="106">
        <f t="shared" si="95"/>
        <v>0.0148548644084235</v>
      </c>
      <c r="AD155" s="107">
        <f t="shared" si="96"/>
        <v>0.0148548644084235</v>
      </c>
      <c r="AE155" s="105">
        <f t="shared" si="97"/>
        <v>0.663053090105031</v>
      </c>
      <c r="AF155" s="106">
        <f t="shared" si="98"/>
        <v>1.21880533344843</v>
      </c>
      <c r="AG155" s="106">
        <f t="shared" si="87"/>
        <v>0.012032440170823</v>
      </c>
      <c r="AH155" s="106">
        <f t="shared" si="88"/>
        <v>-0.0105262042401184</v>
      </c>
      <c r="AI155" s="107">
        <f t="shared" si="99"/>
        <v>0.00150623593070457</v>
      </c>
      <c r="AJ155" s="105">
        <f t="shared" si="100"/>
        <v>0.986666666666667</v>
      </c>
      <c r="AK155" s="106">
        <f t="shared" si="101"/>
        <v>1.5543658861185</v>
      </c>
      <c r="AL155" s="106">
        <f t="shared" si="102"/>
        <v>0.320666666666667</v>
      </c>
      <c r="AM155" s="106">
        <f t="shared" si="89"/>
        <v>0</v>
      </c>
      <c r="AN155" s="107">
        <f t="shared" si="103"/>
        <v>0.320666666666667</v>
      </c>
      <c r="AO155" s="105">
        <f t="shared" si="90"/>
        <v>0.0148548644084235</v>
      </c>
      <c r="AP155" s="106">
        <f t="shared" si="91"/>
        <v>0.055944</v>
      </c>
      <c r="AQ155" s="107">
        <f t="shared" si="104"/>
        <v>0.0099</v>
      </c>
      <c r="AR155" s="105">
        <f t="shared" si="105"/>
        <v>0.402871767005795</v>
      </c>
      <c r="AS155" s="106">
        <f t="shared" si="106"/>
        <v>3.65066666666667</v>
      </c>
      <c r="AT155" s="107">
        <f t="shared" si="107"/>
        <v>90.0612323381674</v>
      </c>
    </row>
    <row r="156" spans="17:46">
      <c r="Q156">
        <v>149</v>
      </c>
      <c r="R156" s="105">
        <f t="shared" si="80"/>
        <v>3.7</v>
      </c>
      <c r="S156" s="106">
        <f t="shared" si="81"/>
        <v>0.993333333333333</v>
      </c>
      <c r="T156" s="106">
        <f t="shared" si="82"/>
        <v>3</v>
      </c>
      <c r="U156" s="107">
        <f t="shared" si="83"/>
        <v>1.22511111111111</v>
      </c>
      <c r="V156" s="105">
        <f t="shared" si="84"/>
        <v>2</v>
      </c>
      <c r="W156" s="106">
        <f t="shared" si="85"/>
        <v>0.552238805970149</v>
      </c>
      <c r="X156" s="107">
        <f t="shared" si="86"/>
        <v>0.447761194029851</v>
      </c>
      <c r="Y156" s="105">
        <f t="shared" si="92"/>
        <v>0.236673773987207</v>
      </c>
      <c r="Z156" s="106">
        <f t="shared" si="93"/>
        <v>2.45511821843165</v>
      </c>
      <c r="AA156" s="106">
        <f t="shared" si="94"/>
        <v>1.22701471364813</v>
      </c>
      <c r="AB156" s="106">
        <v>0</v>
      </c>
      <c r="AC156" s="106">
        <f t="shared" si="95"/>
        <v>0.0150556510750901</v>
      </c>
      <c r="AD156" s="107">
        <f t="shared" si="96"/>
        <v>0.0150556510750901</v>
      </c>
      <c r="AE156" s="105">
        <f t="shared" si="97"/>
        <v>0.672043537866225</v>
      </c>
      <c r="AF156" s="106">
        <f t="shared" si="98"/>
        <v>1.22701471364813</v>
      </c>
      <c r="AG156" s="106">
        <f t="shared" si="87"/>
        <v>0.012195077370823</v>
      </c>
      <c r="AH156" s="106">
        <f t="shared" si="88"/>
        <v>-0.0105973272417409</v>
      </c>
      <c r="AI156" s="107">
        <f t="shared" si="99"/>
        <v>0.00159775012908215</v>
      </c>
      <c r="AJ156" s="105">
        <f t="shared" si="100"/>
        <v>0.993333333333333</v>
      </c>
      <c r="AK156" s="106">
        <f t="shared" si="101"/>
        <v>1.56432449737542</v>
      </c>
      <c r="AL156" s="106">
        <f t="shared" si="102"/>
        <v>0.322833333333333</v>
      </c>
      <c r="AM156" s="106">
        <f t="shared" si="89"/>
        <v>0</v>
      </c>
      <c r="AN156" s="107">
        <f t="shared" si="103"/>
        <v>0.322833333333333</v>
      </c>
      <c r="AO156" s="105">
        <f t="shared" si="90"/>
        <v>0.0150556510750901</v>
      </c>
      <c r="AP156" s="106">
        <f t="shared" si="91"/>
        <v>0.055944</v>
      </c>
      <c r="AQ156" s="107">
        <f t="shared" si="104"/>
        <v>0.0099</v>
      </c>
      <c r="AR156" s="105">
        <f t="shared" si="105"/>
        <v>0.405330734537506</v>
      </c>
      <c r="AS156" s="106">
        <f t="shared" si="106"/>
        <v>3.67533333333333</v>
      </c>
      <c r="AT156" s="107">
        <f t="shared" si="107"/>
        <v>90.067039878904</v>
      </c>
    </row>
    <row r="157" ht="15.75" spans="17:46">
      <c r="Q157">
        <v>150</v>
      </c>
      <c r="R157" s="113">
        <f t="shared" si="80"/>
        <v>3.7</v>
      </c>
      <c r="S157" s="114">
        <f t="shared" si="81"/>
        <v>1</v>
      </c>
      <c r="T157" s="114">
        <f t="shared" si="82"/>
        <v>3</v>
      </c>
      <c r="U157" s="115">
        <f t="shared" si="83"/>
        <v>1.23333333333333</v>
      </c>
      <c r="V157" s="105">
        <f t="shared" si="84"/>
        <v>2</v>
      </c>
      <c r="W157" s="106">
        <f t="shared" si="85"/>
        <v>0.552238805970149</v>
      </c>
      <c r="X157" s="107">
        <f t="shared" si="86"/>
        <v>0.447761194029851</v>
      </c>
      <c r="Y157" s="105">
        <f t="shared" si="92"/>
        <v>0.236673773987207</v>
      </c>
      <c r="Z157" s="106">
        <f t="shared" si="93"/>
        <v>2.47000710732054</v>
      </c>
      <c r="AA157" s="106">
        <f t="shared" si="94"/>
        <v>1.23522426467918</v>
      </c>
      <c r="AB157" s="106">
        <v>0</v>
      </c>
      <c r="AC157" s="106">
        <f t="shared" si="95"/>
        <v>0.0152577898405222</v>
      </c>
      <c r="AD157" s="107">
        <f t="shared" si="96"/>
        <v>0.0152577898405222</v>
      </c>
      <c r="AE157" s="105">
        <f t="shared" si="97"/>
        <v>0.681094527363184</v>
      </c>
      <c r="AF157" s="106">
        <f t="shared" si="98"/>
        <v>1.23522426467918</v>
      </c>
      <c r="AG157" s="106">
        <f t="shared" si="87"/>
        <v>0.012358809770823</v>
      </c>
      <c r="AH157" s="106">
        <f t="shared" si="88"/>
        <v>-0.0106684502433633</v>
      </c>
      <c r="AI157" s="107">
        <f t="shared" si="99"/>
        <v>0.00169035952745973</v>
      </c>
      <c r="AJ157" s="105">
        <f t="shared" si="100"/>
        <v>1</v>
      </c>
      <c r="AK157" s="106">
        <f t="shared" si="101"/>
        <v>1.57428316282914</v>
      </c>
      <c r="AL157" s="106">
        <f t="shared" si="102"/>
        <v>0.325</v>
      </c>
      <c r="AM157" s="106">
        <f t="shared" si="89"/>
        <v>0</v>
      </c>
      <c r="AN157" s="107">
        <f t="shared" si="103"/>
        <v>0.325</v>
      </c>
      <c r="AO157" s="105">
        <f t="shared" si="90"/>
        <v>0.0152577898405222</v>
      </c>
      <c r="AP157" s="106">
        <f t="shared" si="91"/>
        <v>0.055944</v>
      </c>
      <c r="AQ157" s="107">
        <f t="shared" si="104"/>
        <v>0.0099</v>
      </c>
      <c r="AR157" s="105">
        <f t="shared" si="105"/>
        <v>0.407792149367982</v>
      </c>
      <c r="AS157" s="106">
        <f t="shared" si="106"/>
        <v>3.7</v>
      </c>
      <c r="AT157" s="107">
        <f t="shared" si="107"/>
        <v>90.0727170572463</v>
      </c>
    </row>
  </sheetData>
  <mergeCells count="8">
    <mergeCell ref="A1:M1"/>
    <mergeCell ref="Y2:AD2"/>
    <mergeCell ref="R5:U5"/>
    <mergeCell ref="V5:X5"/>
    <mergeCell ref="Y5:AD5"/>
    <mergeCell ref="AE5:AI5"/>
    <mergeCell ref="AJ5:AN5"/>
    <mergeCell ref="AO5:AQ5"/>
  </mergeCells>
  <pageMargins left="0.7" right="0.7" top="0.75" bottom="0.75" header="0.3" footer="0.3"/>
  <pageSetup paperSize="1" orientation="portrait"/>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BP708"/>
  <sheetViews>
    <sheetView zoomScale="85" zoomScaleNormal="85" topLeftCell="A40" workbookViewId="0">
      <selection activeCell="E73" sqref="E73"/>
    </sheetView>
  </sheetViews>
  <sheetFormatPr defaultColWidth="9" defaultRowHeight="15"/>
  <cols>
    <col min="1" max="1" width="18.7142857142857" customWidth="1"/>
    <col min="2" max="2" width="25" customWidth="1"/>
    <col min="8" max="10" width="8.85714285714286"/>
    <col min="15" max="15" width="16.5714285714286" style="18" customWidth="1"/>
    <col min="16" max="16" width="16.5714285714286" customWidth="1"/>
    <col min="29" max="29" width="8.85714285714286"/>
    <col min="32" max="37" width="8.71428571428571"/>
    <col min="38" max="38" width="11.4285714285714" customWidth="1"/>
    <col min="39" max="40" width="8.71428571428571"/>
    <col min="41" max="41" width="13.1428571428571" customWidth="1"/>
    <col min="42" max="44" width="8.71428571428571"/>
    <col min="46" max="46" width="10.1428571428571" customWidth="1"/>
    <col min="47" max="47" width="12" customWidth="1"/>
    <col min="55" max="55" width="8.85714285714286"/>
    <col min="58" max="58" width="8.85714285714286"/>
  </cols>
  <sheetData>
    <row r="1" customFormat="1" ht="27.75" spans="1:68">
      <c r="A1" s="1" t="s">
        <v>90</v>
      </c>
      <c r="B1" s="1"/>
      <c r="C1" s="1"/>
      <c r="D1" s="1"/>
      <c r="E1" s="1"/>
      <c r="F1" s="1"/>
      <c r="G1" s="1"/>
      <c r="H1" s="1"/>
      <c r="I1" s="1"/>
      <c r="J1" s="1"/>
      <c r="K1" s="1"/>
      <c r="L1" s="1"/>
      <c r="M1" s="1"/>
      <c r="N1" s="1" t="s">
        <v>434</v>
      </c>
      <c r="O1" s="1"/>
      <c r="P1" s="1"/>
      <c r="Q1" s="1"/>
      <c r="R1" s="1"/>
      <c r="S1" s="1"/>
      <c r="T1" s="1"/>
      <c r="U1" s="1"/>
      <c r="V1" s="1"/>
      <c r="W1" s="1"/>
      <c r="X1" s="1"/>
    </row>
    <row r="2" customFormat="1" spans="1:68">
      <c r="A2" s="2"/>
      <c r="B2" s="2" t="s">
        <v>91</v>
      </c>
      <c r="C2" s="3"/>
      <c r="D2" s="4"/>
      <c r="E2" s="2"/>
      <c r="F2" s="2"/>
      <c r="G2" s="2"/>
      <c r="H2" s="2"/>
      <c r="I2" s="2"/>
      <c r="J2" s="2"/>
      <c r="K2" s="2"/>
      <c r="L2" s="2"/>
      <c r="M2" s="2"/>
      <c r="AF2" s="19" t="s">
        <v>435</v>
      </c>
      <c r="AG2" s="19"/>
      <c r="AH2" s="19"/>
      <c r="AI2" s="19"/>
      <c r="AJ2" s="19"/>
      <c r="AK2" s="19"/>
      <c r="AL2" s="19"/>
      <c r="AM2" s="19"/>
      <c r="AN2" s="19"/>
      <c r="AO2" s="19"/>
      <c r="AP2" s="19"/>
      <c r="AQ2" s="19"/>
      <c r="AR2" s="19"/>
    </row>
    <row r="3" customFormat="1" ht="15.75" spans="1:68">
      <c r="A3" s="2"/>
      <c r="B3" s="2" t="s">
        <v>92</v>
      </c>
      <c r="C3" s="5"/>
      <c r="D3" s="4"/>
      <c r="E3" s="2"/>
      <c r="F3" s="20"/>
      <c r="G3" s="21"/>
      <c r="H3" s="21"/>
      <c r="I3" s="21"/>
      <c r="J3" s="21"/>
      <c r="K3" s="22"/>
      <c r="L3" s="2"/>
      <c r="M3" s="2"/>
      <c r="O3" t="s">
        <v>436</v>
      </c>
    </row>
    <row r="4" customFormat="1" ht="15.75" spans="1:68">
      <c r="A4" s="2"/>
      <c r="B4" s="2" t="s">
        <v>96</v>
      </c>
      <c r="C4" s="6"/>
      <c r="D4" s="4"/>
      <c r="E4" s="2"/>
      <c r="F4" s="20"/>
      <c r="G4" s="21"/>
      <c r="H4" s="21"/>
      <c r="I4" s="21"/>
      <c r="J4" s="21"/>
      <c r="K4" s="22"/>
      <c r="L4" s="2"/>
      <c r="M4" s="2"/>
      <c r="N4" s="23"/>
      <c r="O4" s="24"/>
      <c r="P4" s="25" t="s">
        <v>437</v>
      </c>
      <c r="Q4" s="25"/>
      <c r="R4" s="25"/>
      <c r="S4" s="25"/>
      <c r="T4" s="25"/>
      <c r="U4" s="25"/>
      <c r="V4" s="25"/>
      <c r="W4" s="25"/>
      <c r="X4" s="25"/>
      <c r="Y4" s="25"/>
      <c r="Z4" s="25"/>
      <c r="AA4" s="25"/>
      <c r="AB4" s="25"/>
      <c r="AC4" s="25"/>
      <c r="AD4" s="25"/>
      <c r="AE4" s="26"/>
      <c r="AF4" s="25"/>
      <c r="AG4" s="25"/>
      <c r="AH4" s="25"/>
      <c r="AI4" s="25"/>
      <c r="AJ4" s="25"/>
      <c r="AK4" s="25"/>
      <c r="AL4" s="25"/>
      <c r="AM4" s="25"/>
      <c r="AN4" s="25"/>
      <c r="AO4" s="25"/>
      <c r="AP4" s="25"/>
      <c r="AQ4" s="25"/>
      <c r="AR4" s="25"/>
      <c r="AS4" s="27" t="s">
        <v>438</v>
      </c>
      <c r="AT4" s="25"/>
      <c r="AU4" s="25"/>
      <c r="AV4" s="25"/>
      <c r="AW4" s="25"/>
      <c r="AX4" s="25"/>
      <c r="AY4" s="25"/>
      <c r="AZ4" s="25"/>
      <c r="BA4" s="25"/>
      <c r="BB4" s="25"/>
      <c r="BC4" s="25"/>
      <c r="BD4" s="25"/>
      <c r="BE4" s="26"/>
      <c r="BF4" s="27" t="s">
        <v>439</v>
      </c>
      <c r="BG4" s="25"/>
      <c r="BH4" s="26"/>
      <c r="BI4" s="27" t="s">
        <v>440</v>
      </c>
      <c r="BJ4" s="25"/>
      <c r="BK4" s="26"/>
      <c r="BL4" s="28" t="s">
        <v>441</v>
      </c>
      <c r="BM4" s="29"/>
    </row>
    <row r="5" customFormat="1" spans="1:68">
      <c r="A5" s="2"/>
      <c r="D5" s="4"/>
      <c r="E5" s="2"/>
      <c r="F5" s="2"/>
      <c r="G5" s="2"/>
      <c r="H5" s="2"/>
      <c r="I5" s="2"/>
      <c r="J5" s="2"/>
      <c r="K5" s="2"/>
      <c r="L5" s="2"/>
      <c r="M5" s="2"/>
      <c r="N5" s="30"/>
      <c r="O5" s="31"/>
      <c r="P5" s="32"/>
      <c r="Q5" s="33" t="s">
        <v>442</v>
      </c>
      <c r="R5" s="33"/>
      <c r="S5" s="33"/>
      <c r="T5" s="34" t="s">
        <v>443</v>
      </c>
      <c r="U5" s="34"/>
      <c r="V5" s="34"/>
      <c r="W5" s="34" t="s">
        <v>443</v>
      </c>
      <c r="X5" s="34"/>
      <c r="Y5" s="34"/>
      <c r="Z5" s="34" t="s">
        <v>444</v>
      </c>
      <c r="AA5" s="34"/>
      <c r="AB5" s="34"/>
      <c r="AC5" s="35" t="s">
        <v>445</v>
      </c>
      <c r="AD5" s="34"/>
      <c r="AE5" s="36"/>
      <c r="AF5" s="34"/>
      <c r="AG5" s="33" t="s">
        <v>442</v>
      </c>
      <c r="AH5" s="33"/>
      <c r="AI5" s="33"/>
      <c r="AJ5" s="37" t="s">
        <v>443</v>
      </c>
      <c r="AK5" s="37"/>
      <c r="AL5" s="37"/>
      <c r="AM5" s="34" t="s">
        <v>446</v>
      </c>
      <c r="AN5" s="34"/>
      <c r="AO5" s="34"/>
      <c r="AP5" s="38" t="s">
        <v>445</v>
      </c>
      <c r="AQ5" s="37"/>
      <c r="AR5" s="39"/>
      <c r="AS5" s="32"/>
      <c r="AT5" s="34" t="s">
        <v>447</v>
      </c>
      <c r="AU5" s="34"/>
      <c r="AV5" s="34"/>
      <c r="AW5" s="34" t="s">
        <v>448</v>
      </c>
      <c r="AX5" s="34"/>
      <c r="AY5" s="34"/>
      <c r="AZ5" s="34" t="s">
        <v>449</v>
      </c>
      <c r="BA5" s="34"/>
      <c r="BB5" s="34"/>
      <c r="BC5" s="35" t="s">
        <v>445</v>
      </c>
      <c r="BD5" s="34"/>
      <c r="BE5" s="36"/>
      <c r="BF5" s="35" t="s">
        <v>445</v>
      </c>
      <c r="BG5" s="34"/>
      <c r="BH5" s="36"/>
      <c r="BI5" s="35" t="s">
        <v>445</v>
      </c>
      <c r="BJ5" s="34"/>
      <c r="BK5" s="36"/>
      <c r="BL5" s="35" t="s">
        <v>445</v>
      </c>
      <c r="BM5" s="40"/>
    </row>
    <row r="6" customFormat="1" ht="15.75" spans="1:68">
      <c r="A6" s="7" t="s">
        <v>97</v>
      </c>
      <c r="B6" s="7" t="s">
        <v>98</v>
      </c>
      <c r="C6" s="7" t="s">
        <v>99</v>
      </c>
      <c r="D6" s="4"/>
      <c r="E6" s="8" t="s">
        <v>100</v>
      </c>
      <c r="F6" s="8"/>
      <c r="G6" s="8"/>
      <c r="H6" s="8"/>
      <c r="I6" s="8"/>
      <c r="J6" s="8"/>
      <c r="K6" s="8"/>
      <c r="L6" s="8"/>
      <c r="M6" s="41"/>
      <c r="N6" s="30"/>
      <c r="O6" s="31"/>
      <c r="P6" s="42" t="s">
        <v>450</v>
      </c>
      <c r="Q6" s="32" t="s">
        <v>451</v>
      </c>
      <c r="R6" s="42" t="s">
        <v>452</v>
      </c>
      <c r="S6" s="42" t="s">
        <v>453</v>
      </c>
      <c r="T6" s="42" t="s">
        <v>451</v>
      </c>
      <c r="U6" s="42" t="s">
        <v>452</v>
      </c>
      <c r="V6" s="42" t="s">
        <v>453</v>
      </c>
      <c r="W6" s="43" t="s">
        <v>451</v>
      </c>
      <c r="X6" s="42" t="s">
        <v>452</v>
      </c>
      <c r="Y6" s="42" t="s">
        <v>453</v>
      </c>
      <c r="Z6" s="43" t="s">
        <v>451</v>
      </c>
      <c r="AA6" s="43" t="s">
        <v>452</v>
      </c>
      <c r="AB6" s="43" t="s">
        <v>453</v>
      </c>
      <c r="AC6" s="44" t="s">
        <v>454</v>
      </c>
      <c r="AD6" s="43" t="s">
        <v>452</v>
      </c>
      <c r="AE6" s="45" t="s">
        <v>453</v>
      </c>
      <c r="AF6" s="46" t="s">
        <v>450</v>
      </c>
      <c r="AG6" s="47" t="s">
        <v>451</v>
      </c>
      <c r="AH6" s="47" t="s">
        <v>455</v>
      </c>
      <c r="AI6" s="47" t="s">
        <v>453</v>
      </c>
      <c r="AJ6" s="47" t="s">
        <v>451</v>
      </c>
      <c r="AK6" s="47" t="s">
        <v>455</v>
      </c>
      <c r="AL6" s="47" t="s">
        <v>453</v>
      </c>
      <c r="AM6" s="47" t="s">
        <v>451</v>
      </c>
      <c r="AN6" s="47" t="s">
        <v>455</v>
      </c>
      <c r="AO6" s="47" t="s">
        <v>453</v>
      </c>
      <c r="AP6" s="48" t="s">
        <v>454</v>
      </c>
      <c r="AQ6" s="49" t="s">
        <v>452</v>
      </c>
      <c r="AR6" s="50" t="s">
        <v>453</v>
      </c>
      <c r="AS6" s="42" t="s">
        <v>456</v>
      </c>
      <c r="AT6" s="43" t="s">
        <v>451</v>
      </c>
      <c r="AU6" s="43" t="s">
        <v>455</v>
      </c>
      <c r="AV6" s="43" t="s">
        <v>453</v>
      </c>
      <c r="AW6" s="43" t="s">
        <v>451</v>
      </c>
      <c r="AX6" s="43" t="s">
        <v>455</v>
      </c>
      <c r="AY6" s="43" t="s">
        <v>453</v>
      </c>
      <c r="AZ6" s="43" t="s">
        <v>451</v>
      </c>
      <c r="BA6" s="43" t="s">
        <v>455</v>
      </c>
      <c r="BB6" s="43" t="s">
        <v>453</v>
      </c>
      <c r="BC6" s="44" t="s">
        <v>454</v>
      </c>
      <c r="BD6" s="43" t="s">
        <v>452</v>
      </c>
      <c r="BE6" s="45" t="s">
        <v>453</v>
      </c>
      <c r="BF6" s="44" t="s">
        <v>454</v>
      </c>
      <c r="BG6" s="43" t="s">
        <v>452</v>
      </c>
      <c r="BH6" s="45" t="s">
        <v>453</v>
      </c>
      <c r="BI6" s="44" t="s">
        <v>454</v>
      </c>
      <c r="BJ6" s="43" t="s">
        <v>452</v>
      </c>
      <c r="BK6" s="45" t="s">
        <v>453</v>
      </c>
      <c r="BL6" s="43" t="s">
        <v>452</v>
      </c>
      <c r="BM6" s="43" t="s">
        <v>453</v>
      </c>
    </row>
    <row r="7" customFormat="1" ht="15.75" spans="1:68">
      <c r="A7" s="7"/>
      <c r="B7" s="7"/>
      <c r="C7" s="7"/>
      <c r="D7" s="4"/>
      <c r="E7" s="8"/>
      <c r="F7" s="8"/>
      <c r="G7" s="8"/>
      <c r="H7" s="8"/>
      <c r="I7" s="8"/>
      <c r="J7" s="8"/>
      <c r="K7" s="8"/>
      <c r="L7" s="8"/>
      <c r="M7" s="41"/>
      <c r="N7" t="s">
        <v>457</v>
      </c>
      <c r="O7" s="24">
        <f>fcross</f>
        <v>700</v>
      </c>
      <c r="P7" s="51" t="str">
        <f>COMPLEX(ADC_VINmin,0)</f>
        <v>96,0576923076923</v>
      </c>
      <c r="Q7" s="52" t="str">
        <f>IMSUM(COMPLEX(1,0),IMDIV(COMPLEX(0,2*PI()*O7),COMPLEX(wp_lf_VINmin,0)))</f>
        <v>1+5,87096001883394i</v>
      </c>
      <c r="R7" s="52">
        <f t="shared" ref="R7:R13" si="0">IMABS(Q7)</f>
        <v>5.95551606015353</v>
      </c>
      <c r="S7" s="52">
        <f t="shared" ref="S7:S13" si="1">IMARGUMENT(Q7)</f>
        <v>1.40208555889579</v>
      </c>
      <c r="T7" s="52" t="str">
        <f>IMSUM(COMPLEX(1,0),IMDIV(COMPLEX(0,2*PI()*O7),COMPLEX(wz_esr_VINmin,0)))</f>
        <v>1+0,0689642419316032i</v>
      </c>
      <c r="U7" s="52">
        <f t="shared" ref="U7:U13" si="2">IMABS(T7)</f>
        <v>1.00237521251535</v>
      </c>
      <c r="V7" s="52">
        <f t="shared" ref="V7:V13" si="3">IMARGUMENT(T7)</f>
        <v>0.0688552200281267</v>
      </c>
      <c r="W7" s="53" t="str">
        <f>IMSUB(COMPLEX(1,0),IMDIV(COMPLEX(0,2*PI()*O7),COMPLEX(wz_RHP_VINmin,0)))</f>
        <v>1-0,0327423767674137i</v>
      </c>
      <c r="X7" s="52">
        <f t="shared" ref="X7:X13" si="4">IMABS(W7)</f>
        <v>1.0005358880302</v>
      </c>
      <c r="Y7" s="52">
        <f t="shared" ref="Y7:Y13" si="5">IMARGUMENT(W7)</f>
        <v>-0.0327306836551448</v>
      </c>
      <c r="Z7" s="53" t="str">
        <f>IMSUM(COMPLEX(1,0),IMDIV(COMPLEX(0,2*PI()*O7),COMPLEX(Q_VINmin*(wsl_VINmin/2),0)),IMDIV(IMPOWER(COMPLEX(0,2*PI()*O7),2),IMPOWER(COMPLEX(wsl_VINmin/2,0),2)))</f>
        <v>0,999996+0,0561266627812982i</v>
      </c>
      <c r="AA7" s="52">
        <f t="shared" ref="AA7:AA13" si="6">IMABS(Z7)</f>
        <v>1.0015698689013</v>
      </c>
      <c r="AB7" s="52">
        <f t="shared" ref="AB7:AB13" si="7">IMARGUMENT(Z7)</f>
        <v>0.0560680609511806</v>
      </c>
      <c r="AC7" s="54" t="str">
        <f t="shared" ref="AC7:AC13" si="8">(IMDIV(IMPRODUCT(P7,T7,W7),IMPRODUCT(Q7,Z7)))</f>
        <v>2,39385959314114-15,972423590338i</v>
      </c>
      <c r="AD7" s="55">
        <f t="shared" ref="AD7:AD13" si="9">20*LOG(IMABS(AC7))</f>
        <v>24.1638897484656</v>
      </c>
      <c r="AE7" s="24">
        <f t="shared" ref="AE7:AE13" si="10">(180/PI())*IMARGUMENT(AC7)</f>
        <v>-81.4762648279164</v>
      </c>
      <c r="AF7" s="32" t="str">
        <f>COMPLEX($B$68,0)</f>
        <v>236,914774604583</v>
      </c>
      <c r="AG7" s="32" t="str">
        <f t="shared" ref="AG7:AG13" si="11">IMSUM(COMPLEX(1,0),IMDIV(COMPLEX(0,2*PI()*O7),COMPLEX(wp_lf_DCM,0)))</f>
        <v>1+1,44981644969847i</v>
      </c>
      <c r="AH7" s="32">
        <f>IMABS(AG7)</f>
        <v>1.76124039750861</v>
      </c>
      <c r="AI7" s="32">
        <f>IMARGUMENT(AG7)</f>
        <v>0.966987826258531</v>
      </c>
      <c r="AJ7" s="32" t="str">
        <f t="shared" ref="AJ7:AJ13" si="12">IMSUM(COMPLEX(1,0),IMDIV(COMPLEX(0,2*PI()*O7),COMPLEX(wz1_dcm,0)))</f>
        <v>1+0,0689642419316032i</v>
      </c>
      <c r="AK7" s="32">
        <f>IMABS(AJ7)</f>
        <v>1.00237521251535</v>
      </c>
      <c r="AL7" s="32">
        <f>IMARGUMENT(AJ7)</f>
        <v>0.0688552200281267</v>
      </c>
      <c r="AM7" s="32" t="str">
        <f t="shared" ref="AM7:AM13" si="13">IMSUB(COMPLEX(1,0),IMDIV(COMPLEX(0,2*PI()*O7),COMPLEX(wz2_dcm,0)))</f>
        <v>1-0,00327824687448568i</v>
      </c>
      <c r="AN7" s="32">
        <f>IMABS(AM7)</f>
        <v>1.00000537343685</v>
      </c>
      <c r="AO7" s="32">
        <f>IMARGUMENT(AM7)</f>
        <v>-0.00327823513089482</v>
      </c>
      <c r="AP7" s="30" t="str">
        <f>(IMDIV(IMPRODUCT(AF7,AJ7,AM7),IMPRODUCT(AG7)))</f>
        <v>83,6663618676544-105,738885008515i</v>
      </c>
      <c r="AQ7" s="32">
        <f>20*LOG(IMABS(AP7))</f>
        <v>42.5961231835662</v>
      </c>
      <c r="AR7" s="31">
        <f>(180/PI())*IMARGUMENT(AP7)</f>
        <v>-51.6470368173389</v>
      </c>
      <c r="AS7" s="53" t="str">
        <f t="shared" ref="AS7:AS13" si="14">COMPLEX(Adc_ea,0)</f>
        <v>-0,000272527472527473</v>
      </c>
      <c r="AT7" s="53" t="str">
        <f t="shared" ref="AT7:AT13" si="15">COMPLEX(0,2*PI()*O7*wp0_ea)</f>
        <v>0,000988282216966277i</v>
      </c>
      <c r="AU7" s="53">
        <f t="shared" ref="AU7:AU13" si="16">IMABS(AT7)</f>
        <v>0.000988282216966277</v>
      </c>
      <c r="AV7" s="53">
        <f t="shared" ref="AV7:AV13" si="17">IMARGUMENT(AT7)</f>
        <v>1.5707963267949</v>
      </c>
      <c r="AW7" s="53" t="str">
        <f t="shared" ref="AW7:AW13" si="18">IMSUM(COMPLEX(1,0),IMDIV(COMPLEX(0,2*PI()*O7),COMPLEX(wp1_ea,0)))</f>
        <v>1+0,0505982368194992i</v>
      </c>
      <c r="AX7" s="53">
        <f t="shared" ref="AX7:AX13" si="19">IMABS(AW7)</f>
        <v>1.00127927251554</v>
      </c>
      <c r="AY7" s="53">
        <f t="shared" ref="AY7:AY13" si="20">IMARGUMENT(AW7)</f>
        <v>0.0505551228035251</v>
      </c>
      <c r="AZ7" s="53" t="str">
        <f t="shared" ref="AZ7:AZ13" si="21">IMSUM(COMPLEX(1,0),IMDIV(COMPLEX(0,2*PI()*O7),COMPLEX(wz_ea,0)))</f>
        <v>1+2,41902634326414i</v>
      </c>
      <c r="BA7" s="53">
        <f t="shared" ref="BA7:BA13" si="22">IMABS(AZ7)</f>
        <v>2.61757300746433</v>
      </c>
      <c r="BB7" s="53">
        <f t="shared" ref="BB7:BB13" si="23">IMARGUMENT(AZ7)</f>
        <v>1.17880086316425</v>
      </c>
      <c r="BC7" s="23" t="str">
        <f t="shared" ref="BC7:BC13" si="24">IMPRODUCT(AS7,IMDIV(AZ7,IMPRODUCT(AT7,AW7)))</f>
        <v>-0,651446960534422+0,308720821358308i</v>
      </c>
      <c r="BD7" s="53">
        <f t="shared" ref="BD7:BD13" si="25">20*LOG(IMABS(BC7))</f>
        <v>-2.84254229329035</v>
      </c>
      <c r="BE7" s="24">
        <f t="shared" ref="BE7:BE13" si="26">(180/PI())*IMARGUMENT(BC7)</f>
        <v>154.643719176283</v>
      </c>
      <c r="BF7" s="23" t="str">
        <f t="shared" ref="BF7:BF13" si="27">IMPRODUCT(AC7,BC7)</f>
        <v>3,371547173994+11,144221100105i</v>
      </c>
      <c r="BG7" s="55">
        <f t="shared" ref="BG7:BG13" si="28">20*LOG(IMABS(BF7))</f>
        <v>21.3213474551752</v>
      </c>
      <c r="BH7" s="24">
        <f t="shared" ref="BH7:BH13" si="29">(180/PI())*IMARGUMENT(BF7)</f>
        <v>73.1674543483664</v>
      </c>
      <c r="BI7" s="23" t="str">
        <f>IMPRODUCT(AP7,BC7)</f>
        <v>-21,8604017083161+94,7128232049395i</v>
      </c>
      <c r="BJ7" s="55">
        <f t="shared" ref="BJ7:BJ13" si="30">20*LOG(IMABS(BI7))</f>
        <v>39.7535808902759</v>
      </c>
      <c r="BK7" s="24">
        <f t="shared" ref="BK7:BK13" si="31">(180/PI())*IMARGUMENT(BI7)</f>
        <v>102.996682358944</v>
      </c>
      <c r="BL7">
        <f>IF($B$31=0,BJ7,BG7)</f>
        <v>21.3213474551752</v>
      </c>
      <c r="BM7">
        <f>IF($B$31=0,BK7,BH7)</f>
        <v>73.1674543483664</v>
      </c>
    </row>
    <row r="8" customFormat="1" ht="15.75" spans="1:68">
      <c r="A8" s="7"/>
      <c r="B8" s="7"/>
      <c r="C8" s="7"/>
      <c r="D8" s="4"/>
      <c r="E8" s="8"/>
      <c r="F8" s="8"/>
      <c r="G8" s="8"/>
      <c r="H8" s="8"/>
      <c r="I8" s="8"/>
      <c r="J8" s="8"/>
      <c r="K8" s="8"/>
      <c r="L8" s="8"/>
      <c r="M8" s="41"/>
      <c r="N8" s="23" t="s">
        <v>458</v>
      </c>
      <c r="O8" s="24">
        <f>fcross</f>
        <v>700</v>
      </c>
      <c r="P8" s="51" t="str">
        <f t="shared" ref="P8:P13" si="32">COMPLEX(Adc,0)</f>
        <v>96,0576923076923</v>
      </c>
      <c r="Q8" s="52" t="str">
        <f t="shared" ref="Q8:Q13" si="33">IMSUM(COMPLEX(1,0),IMDIV(COMPLEX(0,2*PI()*O8),COMPLEX(wp_lf,0)))</f>
        <v>1+5,87096001883394i</v>
      </c>
      <c r="R8" s="52">
        <f t="shared" si="0"/>
        <v>5.95551606015353</v>
      </c>
      <c r="S8" s="52">
        <f t="shared" si="1"/>
        <v>1.40208555889579</v>
      </c>
      <c r="T8" s="52" t="str">
        <f t="shared" ref="T8:T13" si="34">IMSUM(COMPLEX(1,0),IMDIV(COMPLEX(0,2*PI()*O8),COMPLEX(wz_esr,0)))</f>
        <v>1+0,0689642419316032i</v>
      </c>
      <c r="U8" s="52">
        <f t="shared" si="2"/>
        <v>1.00237521251535</v>
      </c>
      <c r="V8" s="52">
        <f t="shared" si="3"/>
        <v>0.0688552200281267</v>
      </c>
      <c r="W8" s="53" t="str">
        <f t="shared" ref="W8:W13" si="35">IMSUB(COMPLEX(1,0),IMDIV(COMPLEX(0,2*PI()*O8),COMPLEX(wz_rhp,0)))</f>
        <v>1-0,0327423767674137i</v>
      </c>
      <c r="X8" s="52">
        <f t="shared" si="4"/>
        <v>1.0005358880302</v>
      </c>
      <c r="Y8" s="52">
        <f t="shared" si="5"/>
        <v>-0.0327306836551448</v>
      </c>
      <c r="Z8" s="53" t="str">
        <f t="shared" ref="Z8:Z13" si="36">IMSUM(COMPLEX(1,0),IMDIV(COMPLEX(0,2*PI()*O8),COMPLEX(Q*(wsl/2),0)),IMDIV(IMPOWER(COMPLEX(0,2*PI()*O8),2),IMPOWER(COMPLEX(wsl/2,0),2)))</f>
        <v>0,999996+0,0561266627812982i</v>
      </c>
      <c r="AA8" s="52">
        <f t="shared" si="6"/>
        <v>1.0015698689013</v>
      </c>
      <c r="AB8" s="52">
        <f t="shared" si="7"/>
        <v>0.0560680609511806</v>
      </c>
      <c r="AC8" s="54" t="str">
        <f t="shared" si="8"/>
        <v>2,39385959314114-15,972423590338i</v>
      </c>
      <c r="AD8" s="55">
        <f t="shared" si="9"/>
        <v>24.1638897484656</v>
      </c>
      <c r="AE8" s="24">
        <f t="shared" si="10"/>
        <v>-81.4762648279164</v>
      </c>
      <c r="AF8" s="32" t="str">
        <f t="shared" ref="AF8:AF13" si="37">COMPLEX($B$68,0)</f>
        <v>236,914774604583</v>
      </c>
      <c r="AG8" s="32" t="str">
        <f t="shared" si="11"/>
        <v>1+1,44981644969847i</v>
      </c>
      <c r="AH8" s="32">
        <f t="shared" ref="AH8:AH13" si="38">IMABS(AG8)</f>
        <v>1.76124039750861</v>
      </c>
      <c r="AI8" s="32">
        <f t="shared" ref="AI8:AI13" si="39">IMARGUMENT(AG8)</f>
        <v>0.966987826258531</v>
      </c>
      <c r="AJ8" s="32" t="str">
        <f t="shared" si="12"/>
        <v>1+0,0689642419316032i</v>
      </c>
      <c r="AK8" s="32">
        <f t="shared" ref="AK8:AK13" si="40">IMABS(AJ8)</f>
        <v>1.00237521251535</v>
      </c>
      <c r="AL8" s="32">
        <f t="shared" ref="AL8:AL13" si="41">IMARGUMENT(AJ8)</f>
        <v>0.0688552200281267</v>
      </c>
      <c r="AM8" s="32" t="str">
        <f t="shared" si="13"/>
        <v>1-0,00327824687448568i</v>
      </c>
      <c r="AN8" s="32">
        <f t="shared" ref="AN8:AN13" si="42">IMABS(AM8)</f>
        <v>1.00000537343685</v>
      </c>
      <c r="AO8" s="32">
        <f t="shared" ref="AO8:AO13" si="43">IMARGUMENT(AM8)</f>
        <v>-0.00327823513089482</v>
      </c>
      <c r="AP8" s="30" t="str">
        <f t="shared" ref="AP8:AP13" si="44">(IMDIV(IMPRODUCT(AF8,AJ8,AM8),IMPRODUCT(AG8)))</f>
        <v>83,6663618676544-105,738885008515i</v>
      </c>
      <c r="AQ8" s="32">
        <f t="shared" ref="AQ8:AQ13" si="45">20*LOG(IMABS(AP8))</f>
        <v>42.5961231835662</v>
      </c>
      <c r="AR8" s="31">
        <f t="shared" ref="AR8:AR13" si="46">(180/PI())*IMARGUMENT(AP8)</f>
        <v>-51.6470368173389</v>
      </c>
      <c r="AS8" s="53" t="str">
        <f t="shared" si="14"/>
        <v>-0,000272527472527473</v>
      </c>
      <c r="AT8" s="53" t="str">
        <f t="shared" si="15"/>
        <v>0,000988282216966277i</v>
      </c>
      <c r="AU8" s="53">
        <f t="shared" si="16"/>
        <v>0.000988282216966277</v>
      </c>
      <c r="AV8" s="53">
        <f t="shared" si="17"/>
        <v>1.5707963267949</v>
      </c>
      <c r="AW8" s="53" t="str">
        <f t="shared" si="18"/>
        <v>1+0,0505982368194992i</v>
      </c>
      <c r="AX8" s="53">
        <f t="shared" si="19"/>
        <v>1.00127927251554</v>
      </c>
      <c r="AY8" s="53">
        <f t="shared" si="20"/>
        <v>0.0505551228035251</v>
      </c>
      <c r="AZ8" s="53" t="str">
        <f t="shared" si="21"/>
        <v>1+2,41902634326414i</v>
      </c>
      <c r="BA8" s="53">
        <f t="shared" si="22"/>
        <v>2.61757300746433</v>
      </c>
      <c r="BB8" s="53">
        <f t="shared" si="23"/>
        <v>1.17880086316425</v>
      </c>
      <c r="BC8" s="23" t="str">
        <f t="shared" si="24"/>
        <v>-0,651446960534422+0,308720821358308i</v>
      </c>
      <c r="BD8" s="53">
        <f t="shared" si="25"/>
        <v>-2.84254229329035</v>
      </c>
      <c r="BE8" s="24">
        <f t="shared" si="26"/>
        <v>154.643719176283</v>
      </c>
      <c r="BF8" s="23" t="str">
        <f t="shared" si="27"/>
        <v>3,371547173994+11,144221100105i</v>
      </c>
      <c r="BG8" s="55">
        <f t="shared" si="28"/>
        <v>21.3213474551752</v>
      </c>
      <c r="BH8" s="24">
        <f t="shared" si="29"/>
        <v>73.1674543483664</v>
      </c>
      <c r="BI8" s="23" t="str">
        <f t="shared" ref="BI8:BI13" si="47">IMPRODUCT(AP8,BC8)</f>
        <v>-21,8604017083161+94,7128232049395i</v>
      </c>
      <c r="BJ8" s="55">
        <f t="shared" si="30"/>
        <v>39.7535808902759</v>
      </c>
      <c r="BK8" s="24">
        <f t="shared" si="31"/>
        <v>102.996682358944</v>
      </c>
      <c r="BL8">
        <f t="shared" ref="BL8:BL13" si="48">IF($B$31=0,BJ8,BG8)</f>
        <v>21.3213474551752</v>
      </c>
      <c r="BM8">
        <f t="shared" ref="BM8:BM13" si="49">IF($B$31=0,BK8,BH8)</f>
        <v>73.1674543483664</v>
      </c>
    </row>
    <row r="9" customFormat="1" ht="15.75" spans="1:68">
      <c r="A9" s="56" t="s">
        <v>459</v>
      </c>
      <c r="B9" s="7"/>
      <c r="C9" s="7"/>
      <c r="D9" s="4"/>
      <c r="E9" s="8"/>
      <c r="F9" s="8"/>
      <c r="G9" s="8"/>
      <c r="H9" s="8"/>
      <c r="I9" s="8"/>
      <c r="J9" s="8"/>
      <c r="K9" s="8"/>
      <c r="L9" s="8"/>
      <c r="M9" s="41"/>
      <c r="N9" s="57" t="s">
        <v>446</v>
      </c>
      <c r="O9" s="58">
        <f>IF($B$31=0,B74,wz_rhp/(2*PI()))</f>
        <v>21379.022206374</v>
      </c>
      <c r="P9" s="59" t="str">
        <f t="shared" si="32"/>
        <v>96,0576923076923</v>
      </c>
      <c r="Q9" s="60" t="str">
        <f t="shared" si="33"/>
        <v>1+179,307692307692i</v>
      </c>
      <c r="R9" s="60">
        <f t="shared" si="0"/>
        <v>179.310480788798</v>
      </c>
      <c r="S9" s="60">
        <f t="shared" si="1"/>
        <v>1.56521937903733</v>
      </c>
      <c r="T9" s="60" t="str">
        <f t="shared" si="34"/>
        <v>1+2,10626865671642i</v>
      </c>
      <c r="U9" s="60">
        <f t="shared" si="2"/>
        <v>2.3316019502192</v>
      </c>
      <c r="V9" s="60">
        <f t="shared" si="3"/>
        <v>1.12753302029586</v>
      </c>
      <c r="W9" s="61" t="str">
        <f t="shared" si="35"/>
        <v>1-i</v>
      </c>
      <c r="X9" s="60">
        <f t="shared" si="4"/>
        <v>1.4142135623731</v>
      </c>
      <c r="Y9" s="60">
        <f t="shared" si="5"/>
        <v>-0.785398163397448</v>
      </c>
      <c r="Z9" s="61" t="str">
        <f t="shared" si="36"/>
        <v>0,99626887681224+1,71419024281577i</v>
      </c>
      <c r="AA9" s="60">
        <f t="shared" si="6"/>
        <v>1.9826749263229</v>
      </c>
      <c r="AB9" s="60">
        <f t="shared" si="7"/>
        <v>1.04432313003784</v>
      </c>
      <c r="AC9" s="62" t="str">
        <f t="shared" si="8"/>
        <v>-0,571641491818848-0,683363107250361i</v>
      </c>
      <c r="AD9" s="63">
        <f t="shared" si="9"/>
        <v>-1.00311265484754</v>
      </c>
      <c r="AE9" s="64">
        <f t="shared" si="10"/>
        <v>-129.912888905395</v>
      </c>
      <c r="AF9" s="32" t="str">
        <f t="shared" si="37"/>
        <v>236,914774604583</v>
      </c>
      <c r="AG9" s="32" t="str">
        <f t="shared" si="11"/>
        <v>1+44,2795115332428i</v>
      </c>
      <c r="AH9" s="32">
        <f t="shared" si="38"/>
        <v>44.2908019979609</v>
      </c>
      <c r="AI9" s="32">
        <f t="shared" si="39"/>
        <v>1.54821635678347</v>
      </c>
      <c r="AJ9" s="32" t="str">
        <f t="shared" si="12"/>
        <v>1+2,10626865671642i</v>
      </c>
      <c r="AK9" s="32">
        <f t="shared" si="40"/>
        <v>2.3316019502192</v>
      </c>
      <c r="AL9" s="32">
        <f t="shared" si="41"/>
        <v>1.12753302029586</v>
      </c>
      <c r="AM9" s="32" t="str">
        <f t="shared" si="13"/>
        <v>1-0,100122446753722i</v>
      </c>
      <c r="AN9" s="32">
        <f t="shared" si="42"/>
        <v>1.00499975340492</v>
      </c>
      <c r="AO9" s="32">
        <f t="shared" si="43"/>
        <v>-0.0997898854304334</v>
      </c>
      <c r="AP9" s="30" t="str">
        <f t="shared" si="44"/>
        <v>10,8745294586932-6,23317542764277i</v>
      </c>
      <c r="AQ9" s="32">
        <f t="shared" si="45"/>
        <v>21.9619793200523</v>
      </c>
      <c r="AR9" s="31">
        <f t="shared" si="46"/>
        <v>-29.8209189654803</v>
      </c>
      <c r="AS9" s="61" t="str">
        <f t="shared" si="14"/>
        <v>-0,000272527472527473</v>
      </c>
      <c r="AT9" s="61" t="str">
        <f t="shared" si="15"/>
        <v>0,0301835820895522i</v>
      </c>
      <c r="AU9" s="61">
        <f t="shared" si="16"/>
        <v>0.0301835820895522</v>
      </c>
      <c r="AV9" s="61">
        <f t="shared" si="17"/>
        <v>1.5707963267949</v>
      </c>
      <c r="AW9" s="61" t="str">
        <f t="shared" si="18"/>
        <v>1+1,54534404081063i</v>
      </c>
      <c r="AX9" s="61">
        <f t="shared" si="19"/>
        <v>1.84067601833373</v>
      </c>
      <c r="AY9" s="61">
        <f t="shared" si="20"/>
        <v>0.996458882630301</v>
      </c>
      <c r="AZ9" s="61" t="str">
        <f t="shared" si="21"/>
        <v>1+73,8805970149252i</v>
      </c>
      <c r="BA9" s="61">
        <f t="shared" si="22"/>
        <v>73.8873643817519</v>
      </c>
      <c r="BB9" s="61">
        <f t="shared" si="23"/>
        <v>1.55726179975376</v>
      </c>
      <c r="BC9" s="57" t="str">
        <f t="shared" si="24"/>
        <v>-0,192767939799989+0,306921784042232i</v>
      </c>
      <c r="BD9" s="61">
        <f t="shared" si="25"/>
        <v>-8.81535338958798</v>
      </c>
      <c r="BE9" s="64">
        <f t="shared" si="26"/>
        <v>122.131640289799</v>
      </c>
      <c r="BF9" s="57" t="str">
        <f t="shared" si="27"/>
        <v>0,319933176708036-0,0437187281816328i</v>
      </c>
      <c r="BG9" s="63">
        <f t="shared" si="28"/>
        <v>-9.81846604443551</v>
      </c>
      <c r="BH9" s="64">
        <f t="shared" si="29"/>
        <v>-7.78124861559619</v>
      </c>
      <c r="BI9" s="23" t="str">
        <f t="shared" si="47"/>
        <v>-0,183163317546256+4,53918636768054i</v>
      </c>
      <c r="BJ9" s="63">
        <f t="shared" si="30"/>
        <v>13.1466259304644</v>
      </c>
      <c r="BK9" s="64">
        <f t="shared" si="31"/>
        <v>92.310721324319</v>
      </c>
      <c r="BL9">
        <f t="shared" si="48"/>
        <v>-9.81846604443551</v>
      </c>
      <c r="BM9">
        <f t="shared" si="49"/>
        <v>-7.78124861559619</v>
      </c>
    </row>
    <row r="10" customFormat="1" ht="15.75" spans="1:68">
      <c r="A10" t="s">
        <v>104</v>
      </c>
      <c r="B10" s="15">
        <f>VIN_min</f>
        <v>3</v>
      </c>
      <c r="C10" t="s">
        <v>7</v>
      </c>
      <c r="E10" t="s">
        <v>105</v>
      </c>
      <c r="N10" s="30" t="s">
        <v>443</v>
      </c>
      <c r="O10" s="65">
        <f>IF(B31=0,B72,wz_esr/(2*PI()))</f>
        <v>10150.1876971872</v>
      </c>
      <c r="P10" s="66" t="str">
        <f t="shared" si="32"/>
        <v>96,0576923076923</v>
      </c>
      <c r="Q10" s="42" t="str">
        <f t="shared" si="33"/>
        <v>1+85,1304945054945i</v>
      </c>
      <c r="R10" s="42">
        <f t="shared" si="0"/>
        <v>85.136367638924</v>
      </c>
      <c r="S10" s="42">
        <f t="shared" si="1"/>
        <v>1.55905019499045</v>
      </c>
      <c r="T10" s="42" t="str">
        <f t="shared" si="34"/>
        <v>1+i</v>
      </c>
      <c r="U10" s="42">
        <f t="shared" si="2"/>
        <v>1.4142135623731</v>
      </c>
      <c r="V10" s="42">
        <f t="shared" si="3"/>
        <v>0.785398163397448</v>
      </c>
      <c r="W10" s="32" t="str">
        <f t="shared" si="35"/>
        <v>1-0,474773242630386i</v>
      </c>
      <c r="X10" s="42">
        <f t="shared" si="4"/>
        <v>1.1069822184289</v>
      </c>
      <c r="Y10" s="42">
        <f t="shared" si="5"/>
        <v>-0.443263306499042</v>
      </c>
      <c r="Z10" s="32" t="str">
        <f t="shared" si="36"/>
        <v>0,999158968895607+0,813851660067011i</v>
      </c>
      <c r="AA10" s="42">
        <f t="shared" si="6"/>
        <v>1.28867108670846</v>
      </c>
      <c r="AB10" s="42">
        <f t="shared" si="7"/>
        <v>0.683542151324453</v>
      </c>
      <c r="AC10" s="67" t="str">
        <f t="shared" si="8"/>
        <v>-0,443714290128025-1,2968553611961i</v>
      </c>
      <c r="AD10" s="68">
        <f t="shared" si="9"/>
        <v>2.73861180067497</v>
      </c>
      <c r="AE10" s="31">
        <f t="shared" si="10"/>
        <v>-108.888193287593</v>
      </c>
      <c r="AF10" s="32" t="str">
        <f t="shared" si="37"/>
        <v>236,914774604583</v>
      </c>
      <c r="AG10" s="32" t="str">
        <f t="shared" si="11"/>
        <v>1+21,0227272727272i</v>
      </c>
      <c r="AH10" s="32">
        <f t="shared" si="38"/>
        <v>21.046497617976</v>
      </c>
      <c r="AI10" s="32">
        <f t="shared" si="39"/>
        <v>1.52326458722427</v>
      </c>
      <c r="AJ10" s="32" t="str">
        <f t="shared" si="12"/>
        <v>1+i</v>
      </c>
      <c r="AK10" s="32">
        <f t="shared" si="40"/>
        <v>1.4142135623731</v>
      </c>
      <c r="AL10" s="32">
        <f t="shared" si="41"/>
        <v>0.785398163397448</v>
      </c>
      <c r="AM10" s="32" t="str">
        <f t="shared" si="13"/>
        <v>1-0,0475354587053528i</v>
      </c>
      <c r="AN10" s="32">
        <f t="shared" si="42"/>
        <v>1.00112917240201</v>
      </c>
      <c r="AO10" s="32">
        <f t="shared" si="43"/>
        <v>-0.0474997031474544</v>
      </c>
      <c r="AP10" s="30" t="str">
        <f t="shared" si="44"/>
        <v>11,2698034079397-11,2690813426899i</v>
      </c>
      <c r="AQ10" s="32">
        <f t="shared" si="45"/>
        <v>24.0483485050624</v>
      </c>
      <c r="AR10" s="31">
        <f t="shared" si="46"/>
        <v>-44.9981644481619</v>
      </c>
      <c r="AS10" s="32" t="str">
        <f t="shared" si="14"/>
        <v>-0,000272527472527473</v>
      </c>
      <c r="AT10" s="32" t="str">
        <f t="shared" si="15"/>
        <v>0,0143303571428571i</v>
      </c>
      <c r="AU10" s="32">
        <f t="shared" si="16"/>
        <v>0.0143303571428571</v>
      </c>
      <c r="AV10" s="32">
        <f t="shared" si="17"/>
        <v>1.5707963267949</v>
      </c>
      <c r="AW10" s="32" t="str">
        <f t="shared" si="18"/>
        <v>1+0,733688001235207i</v>
      </c>
      <c r="AX10" s="32">
        <f t="shared" si="19"/>
        <v>1.24028145320186</v>
      </c>
      <c r="AY10" s="32">
        <f t="shared" si="20"/>
        <v>0.632979432637693</v>
      </c>
      <c r="AZ10" s="32" t="str">
        <f t="shared" si="21"/>
        <v>1+35,0765306122448i</v>
      </c>
      <c r="BA10" s="32">
        <f t="shared" si="22"/>
        <v>35.0907822624653</v>
      </c>
      <c r="BB10" s="32">
        <f t="shared" si="23"/>
        <v>1.54229495588286</v>
      </c>
      <c r="BC10" s="30" t="str">
        <f t="shared" si="24"/>
        <v>-0,42456971778575+0,33051920103724i</v>
      </c>
      <c r="BD10" s="32">
        <f t="shared" si="25"/>
        <v>-5.3834785031202</v>
      </c>
      <c r="BE10" s="31">
        <f t="shared" si="26"/>
        <v>142.099941727678</v>
      </c>
      <c r="BF10" s="30" t="str">
        <f t="shared" si="27"/>
        <v>0,617023248780556+0,403949422050044i</v>
      </c>
      <c r="BG10" s="68">
        <f t="shared" si="28"/>
        <v>-2.64486670244524</v>
      </c>
      <c r="BH10" s="31">
        <f t="shared" si="29"/>
        <v>33.2117484400848</v>
      </c>
      <c r="BI10" s="23" t="str">
        <f t="shared" si="47"/>
        <v>-1,06016949060031+8,5093971036095i</v>
      </c>
      <c r="BJ10" s="68">
        <f t="shared" si="30"/>
        <v>18.6648700019422</v>
      </c>
      <c r="BK10" s="31">
        <f t="shared" si="31"/>
        <v>97.1017772795163</v>
      </c>
      <c r="BL10">
        <f t="shared" si="48"/>
        <v>-2.64486670244524</v>
      </c>
      <c r="BM10">
        <f t="shared" si="49"/>
        <v>33.2117484400848</v>
      </c>
    </row>
    <row r="11" customFormat="1" ht="15.75" spans="1:68">
      <c r="A11" t="s">
        <v>106</v>
      </c>
      <c r="B11" s="15">
        <f>VIN_nom</f>
        <v>3.7</v>
      </c>
      <c r="C11" t="s">
        <v>7</v>
      </c>
      <c r="E11" t="s">
        <v>107</v>
      </c>
      <c r="N11" s="69" t="s">
        <v>442</v>
      </c>
      <c r="O11" s="70">
        <f>IF(B31=0,B70,wp_lf/(2*PI()))</f>
        <v>119.230926075874</v>
      </c>
      <c r="P11" s="71" t="str">
        <f t="shared" si="32"/>
        <v>96,0576923076923</v>
      </c>
      <c r="Q11" s="72" t="str">
        <f t="shared" si="33"/>
        <v>1+i</v>
      </c>
      <c r="R11" s="72">
        <f t="shared" si="0"/>
        <v>1.4142135623731</v>
      </c>
      <c r="S11" s="72">
        <f t="shared" si="1"/>
        <v>0.785398163397448</v>
      </c>
      <c r="T11" s="72" t="str">
        <f t="shared" si="34"/>
        <v>1+0,0117466720451795i</v>
      </c>
      <c r="U11" s="72">
        <f t="shared" si="2"/>
        <v>1.00006898977227</v>
      </c>
      <c r="V11" s="72">
        <f t="shared" si="3"/>
        <v>0.0117461318044496</v>
      </c>
      <c r="W11" s="73" t="str">
        <f t="shared" si="35"/>
        <v>1-0,00557700557700559i</v>
      </c>
      <c r="X11" s="72">
        <f t="shared" si="4"/>
        <v>1.00001555137468</v>
      </c>
      <c r="Y11" s="72">
        <f t="shared" si="5"/>
        <v>-0.00557694775756613</v>
      </c>
      <c r="Z11" s="73" t="str">
        <f t="shared" si="36"/>
        <v>0,999999883950908+0,0095600485442321i</v>
      </c>
      <c r="AA11" s="72">
        <f t="shared" si="6"/>
        <v>1.00004558017622</v>
      </c>
      <c r="AB11" s="72">
        <f t="shared" si="7"/>
        <v>0.00955975842416037</v>
      </c>
      <c r="AC11" s="74" t="str">
        <f t="shared" si="8"/>
        <v>47,8675898827698-48,1932926980003i</v>
      </c>
      <c r="AD11" s="75">
        <f t="shared" si="9"/>
        <v>36.6406814198986</v>
      </c>
      <c r="AE11" s="76">
        <f t="shared" si="10"/>
        <v>-45.1942656019432</v>
      </c>
      <c r="AF11" s="32" t="str">
        <f t="shared" si="37"/>
        <v>236,914774604583</v>
      </c>
      <c r="AG11" s="32" t="str">
        <f t="shared" si="11"/>
        <v>1+0,246947082767978i</v>
      </c>
      <c r="AH11" s="32">
        <f t="shared" si="38"/>
        <v>1.0300402233348</v>
      </c>
      <c r="AI11" s="32">
        <f t="shared" si="39"/>
        <v>0.242103271690328</v>
      </c>
      <c r="AJ11" s="32" t="str">
        <f t="shared" si="12"/>
        <v>1+0,0117466720451795i</v>
      </c>
      <c r="AK11" s="32">
        <f t="shared" si="40"/>
        <v>1.00006898977227</v>
      </c>
      <c r="AL11" s="32">
        <f t="shared" si="41"/>
        <v>0.0117461318044496</v>
      </c>
      <c r="AM11" s="32" t="str">
        <f t="shared" si="13"/>
        <v>1-0,000558383443928953i</v>
      </c>
      <c r="AN11" s="32">
        <f t="shared" si="42"/>
        <v>1.00000015589602</v>
      </c>
      <c r="AO11" s="32">
        <f t="shared" si="43"/>
        <v>-0.000558383385895787</v>
      </c>
      <c r="AP11" s="30" t="str">
        <f t="shared" si="44"/>
        <v>223,91587327324-52,6447008180945i</v>
      </c>
      <c r="AQ11" s="32">
        <f t="shared" si="45"/>
        <v>47.235359789424</v>
      </c>
      <c r="AR11" s="31">
        <f t="shared" si="46"/>
        <v>-13.2304849075276</v>
      </c>
      <c r="AS11" s="73" t="str">
        <f t="shared" si="14"/>
        <v>-0,000272527472527473</v>
      </c>
      <c r="AT11" s="73" t="str">
        <f t="shared" si="15"/>
        <v>0,000168334005647439i</v>
      </c>
      <c r="AU11" s="73">
        <f t="shared" si="16"/>
        <v>0.000168334005647439</v>
      </c>
      <c r="AV11" s="73">
        <f t="shared" si="17"/>
        <v>1.5707963267949</v>
      </c>
      <c r="AW11" s="73" t="str">
        <f t="shared" si="18"/>
        <v>1+0,00861839233399324i</v>
      </c>
      <c r="AX11" s="73">
        <f t="shared" si="19"/>
        <v>1.00003713765361</v>
      </c>
      <c r="AY11" s="73">
        <f t="shared" si="20"/>
        <v>0.00861817896162736</v>
      </c>
      <c r="AZ11" s="73" t="str">
        <f t="shared" si="21"/>
        <v>1+0,41203250158474i</v>
      </c>
      <c r="BA11" s="73">
        <f t="shared" si="22"/>
        <v>1.0815594215586</v>
      </c>
      <c r="BB11" s="73">
        <f t="shared" si="23"/>
        <v>0.390835995355904</v>
      </c>
      <c r="BC11" s="69" t="str">
        <f t="shared" si="24"/>
        <v>-0,653066275437164+1,62459699963153i</v>
      </c>
      <c r="BD11" s="73">
        <f t="shared" si="25"/>
        <v>4.86545374053516</v>
      </c>
      <c r="BE11" s="76">
        <f t="shared" si="26"/>
        <v>111.899467734098</v>
      </c>
      <c r="BF11" s="69" t="str">
        <f t="shared" si="27"/>
        <v>47,0339700806413+109,238957066477i</v>
      </c>
      <c r="BG11" s="75">
        <f t="shared" si="28"/>
        <v>41.5061351604338</v>
      </c>
      <c r="BH11" s="76">
        <f t="shared" si="29"/>
        <v>66.7052021321551</v>
      </c>
      <c r="BI11" s="23" t="str">
        <f t="shared" si="47"/>
        <v>-60,705482374239+398,153534574356i</v>
      </c>
      <c r="BJ11" s="75">
        <f t="shared" si="30"/>
        <v>52.1008135299591</v>
      </c>
      <c r="BK11" s="76">
        <f t="shared" si="31"/>
        <v>98.6689828265706</v>
      </c>
      <c r="BL11">
        <f t="shared" si="48"/>
        <v>41.5061351604338</v>
      </c>
      <c r="BM11">
        <f t="shared" si="49"/>
        <v>66.7052021321551</v>
      </c>
      <c r="BO11" s="77" t="s">
        <v>460</v>
      </c>
      <c r="BP11" s="77"/>
    </row>
    <row r="12" customFormat="1" ht="15.75" spans="1:68">
      <c r="A12" t="s">
        <v>108</v>
      </c>
      <c r="B12" s="15">
        <f>VIN_max</f>
        <v>12.6</v>
      </c>
      <c r="C12" t="s">
        <v>7</v>
      </c>
      <c r="E12" t="s">
        <v>109</v>
      </c>
      <c r="N12" s="57" t="s">
        <v>449</v>
      </c>
      <c r="O12" s="64">
        <f>wz_ea/(2*PI())</f>
        <v>289.372623803446</v>
      </c>
      <c r="P12" s="59" t="str">
        <f t="shared" si="32"/>
        <v>96,0576923076923</v>
      </c>
      <c r="Q12" s="60" t="str">
        <f t="shared" si="33"/>
        <v>1+2,42699300699301i</v>
      </c>
      <c r="R12" s="60">
        <f t="shared" si="0"/>
        <v>2.62493715277013</v>
      </c>
      <c r="S12" s="60">
        <f t="shared" si="1"/>
        <v>1.17996033143899</v>
      </c>
      <c r="T12" s="60" t="str">
        <f t="shared" si="34"/>
        <v>1+0,028509090909091i</v>
      </c>
      <c r="U12" s="60">
        <f t="shared" si="2"/>
        <v>1.00040630159174</v>
      </c>
      <c r="V12" s="60">
        <f t="shared" si="3"/>
        <v>0.0285013709120361</v>
      </c>
      <c r="W12" s="61" t="str">
        <f t="shared" si="35"/>
        <v>1-0,0135353535353536i</v>
      </c>
      <c r="X12" s="60">
        <f t="shared" si="4"/>
        <v>1.0000915987025</v>
      </c>
      <c r="Y12" s="60">
        <f t="shared" si="5"/>
        <v>-0.013534527041133</v>
      </c>
      <c r="Z12" s="61" t="str">
        <f t="shared" si="36"/>
        <v>0,999999316436609+0,023202170963365i</v>
      </c>
      <c r="AA12" s="60">
        <f t="shared" si="6"/>
        <v>1.00026845077264</v>
      </c>
      <c r="AB12" s="60">
        <f t="shared" si="7"/>
        <v>0.0231980246013857</v>
      </c>
      <c r="AC12" s="62" t="str">
        <f t="shared" si="8"/>
        <v>13,6651783359342-33,9561329554499i</v>
      </c>
      <c r="AD12" s="63">
        <f t="shared" si="9"/>
        <v>31.2702573150067</v>
      </c>
      <c r="AE12" s="64">
        <f t="shared" si="10"/>
        <v>-68.0783589005782</v>
      </c>
      <c r="AF12" s="32" t="str">
        <f t="shared" si="37"/>
        <v>236,914774604583</v>
      </c>
      <c r="AG12" s="32" t="str">
        <f t="shared" si="11"/>
        <v>1+0,599338842975207i</v>
      </c>
      <c r="AH12" s="32">
        <f t="shared" si="38"/>
        <v>1.16585035433321</v>
      </c>
      <c r="AI12" s="32">
        <f t="shared" si="39"/>
        <v>0.539933213594269</v>
      </c>
      <c r="AJ12" s="32" t="str">
        <f t="shared" si="12"/>
        <v>1+0,028509090909091i</v>
      </c>
      <c r="AK12" s="32">
        <f t="shared" si="40"/>
        <v>1.00040630159174</v>
      </c>
      <c r="AL12" s="32">
        <f t="shared" si="41"/>
        <v>0.0285013709120361</v>
      </c>
      <c r="AM12" s="32" t="str">
        <f t="shared" si="13"/>
        <v>1-0,00135519271363624i</v>
      </c>
      <c r="AN12" s="32">
        <f t="shared" si="42"/>
        <v>1.00000091827322</v>
      </c>
      <c r="AO12" s="32">
        <f t="shared" si="43"/>
        <v>-0.00135519188401199</v>
      </c>
      <c r="AP12" s="30" t="str">
        <f t="shared" si="44"/>
        <v>177,147087770796-99,7379709503643i</v>
      </c>
      <c r="AQ12" s="32">
        <f t="shared" si="45"/>
        <v>46.1625230747475</v>
      </c>
      <c r="AR12" s="31">
        <f t="shared" si="46"/>
        <v>-29.3805328696749</v>
      </c>
      <c r="AS12" s="61" t="str">
        <f t="shared" si="14"/>
        <v>-0,000272527472527473</v>
      </c>
      <c r="AT12" s="61" t="str">
        <f t="shared" si="15"/>
        <v>0,000408545454545455i</v>
      </c>
      <c r="AU12" s="61">
        <f t="shared" si="16"/>
        <v>0.000408545454545455</v>
      </c>
      <c r="AV12" s="61">
        <f t="shared" si="17"/>
        <v>1.5707963267949</v>
      </c>
      <c r="AW12" s="61" t="str">
        <f t="shared" si="18"/>
        <v>1+0,0209167779261237i</v>
      </c>
      <c r="AX12" s="61">
        <f t="shared" si="19"/>
        <v>1.00021873187759</v>
      </c>
      <c r="AY12" s="61">
        <f t="shared" si="20"/>
        <v>0.0209137282823189</v>
      </c>
      <c r="AZ12" s="61" t="str">
        <f t="shared" si="21"/>
        <v>1+i</v>
      </c>
      <c r="BA12" s="61">
        <f t="shared" si="22"/>
        <v>1.4142135623731</v>
      </c>
      <c r="BB12" s="61">
        <f t="shared" si="23"/>
        <v>0.785398163397448</v>
      </c>
      <c r="BC12" s="57" t="str">
        <f t="shared" si="24"/>
        <v>-0,652829162705394+0,680722772384626i</v>
      </c>
      <c r="BD12" s="61">
        <f t="shared" si="25"/>
        <v>-0.508201604952522</v>
      </c>
      <c r="BE12" s="64">
        <f t="shared" si="26"/>
        <v>133.80173163554</v>
      </c>
      <c r="BF12" s="57" t="str">
        <f t="shared" si="27"/>
        <v>14,193686033627+31,4697519279869i</v>
      </c>
      <c r="BG12" s="63">
        <f t="shared" si="28"/>
        <v>30.7620557100541</v>
      </c>
      <c r="BH12" s="64">
        <f t="shared" si="29"/>
        <v>65.7233727349616</v>
      </c>
      <c r="BI12" s="23" t="str">
        <f t="shared" si="47"/>
        <v>-47,7528768877584+185,69991277266i</v>
      </c>
      <c r="BJ12" s="63">
        <f t="shared" si="30"/>
        <v>45.654321469795</v>
      </c>
      <c r="BK12" s="64">
        <f t="shared" si="31"/>
        <v>104.421198765865</v>
      </c>
      <c r="BL12">
        <f t="shared" si="48"/>
        <v>30.7620557100541</v>
      </c>
      <c r="BM12">
        <f t="shared" si="49"/>
        <v>65.7233727349616</v>
      </c>
      <c r="BO12" t="s">
        <v>461</v>
      </c>
      <c r="BP12">
        <f>SUM(BO19:BO559)/1000</f>
        <v>7.58577575029184</v>
      </c>
    </row>
    <row r="13" customFormat="1" ht="15.75" spans="1:68">
      <c r="A13" t="s">
        <v>110</v>
      </c>
      <c r="B13" s="15">
        <f>Fsw</f>
        <v>700000</v>
      </c>
      <c r="C13" t="s">
        <v>111</v>
      </c>
      <c r="E13" t="s">
        <v>112</v>
      </c>
      <c r="N13" s="69" t="s">
        <v>448</v>
      </c>
      <c r="O13" s="76">
        <f>wp1_ea/(2*PI())</f>
        <v>13834.4741635392</v>
      </c>
      <c r="P13" s="71" t="str">
        <f t="shared" si="32"/>
        <v>96,0576923076923</v>
      </c>
      <c r="Q13" s="72" t="str">
        <f t="shared" si="33"/>
        <v>1+116,0309209939i</v>
      </c>
      <c r="R13" s="72">
        <f t="shared" si="0"/>
        <v>116.035230110052</v>
      </c>
      <c r="S13" s="72">
        <f t="shared" si="1"/>
        <v>1.56217814783327</v>
      </c>
      <c r="T13" s="72" t="str">
        <f t="shared" si="34"/>
        <v>1+1,36297717601547i</v>
      </c>
      <c r="U13" s="72">
        <f t="shared" si="2"/>
        <v>1.69047531254943</v>
      </c>
      <c r="V13" s="72">
        <f t="shared" si="3"/>
        <v>0.937816894157202</v>
      </c>
      <c r="W13" s="73" t="str">
        <f t="shared" si="35"/>
        <v>1-0,647105093488073i</v>
      </c>
      <c r="X13" s="72">
        <f t="shared" si="4"/>
        <v>1.19111082692511</v>
      </c>
      <c r="Y13" s="72">
        <f t="shared" si="5"/>
        <v>-0.574337444164595</v>
      </c>
      <c r="Z13" s="73" t="str">
        <f t="shared" si="36"/>
        <v>0,998437610813211+1,10926123733364i</v>
      </c>
      <c r="AA13" s="72">
        <f t="shared" si="6"/>
        <v>1.49242693467297</v>
      </c>
      <c r="AB13" s="72">
        <f t="shared" si="7"/>
        <v>0.837930176895652</v>
      </c>
      <c r="AC13" s="74" t="str">
        <f t="shared" si="8"/>
        <v>-0,501669676970087-0,997882602531347i</v>
      </c>
      <c r="AD13" s="75">
        <f t="shared" si="9"/>
        <v>0.960204155241027</v>
      </c>
      <c r="AE13" s="76">
        <f t="shared" si="10"/>
        <v>-116.690238956869</v>
      </c>
      <c r="AF13" s="32" t="str">
        <f t="shared" si="37"/>
        <v>236,914774604583</v>
      </c>
      <c r="AG13" s="32" t="str">
        <f t="shared" si="11"/>
        <v>1+28,6534974503253i</v>
      </c>
      <c r="AH13" s="32">
        <f t="shared" si="38"/>
        <v>28.6709420168888</v>
      </c>
      <c r="AI13" s="32">
        <f t="shared" si="39"/>
        <v>1.53591073209301</v>
      </c>
      <c r="AJ13" s="32" t="str">
        <f t="shared" si="12"/>
        <v>1+1,36297717601547i</v>
      </c>
      <c r="AK13" s="32">
        <f t="shared" si="40"/>
        <v>1.69047531254943</v>
      </c>
      <c r="AL13" s="32">
        <f t="shared" si="41"/>
        <v>0.937816894157202</v>
      </c>
      <c r="AM13" s="32" t="str">
        <f t="shared" si="13"/>
        <v>1-0,0647897452668219i</v>
      </c>
      <c r="AN13" s="32">
        <f t="shared" si="42"/>
        <v>1.00209665755941</v>
      </c>
      <c r="AO13" s="32">
        <f t="shared" si="43"/>
        <v>-0.064699316702805</v>
      </c>
      <c r="AP13" s="30" t="str">
        <f t="shared" si="44"/>
        <v>11,0343632293302-8,61331610725796i</v>
      </c>
      <c r="AQ13" s="32">
        <f t="shared" si="45"/>
        <v>22.9213725837115</v>
      </c>
      <c r="AR13" s="31">
        <f t="shared" si="46"/>
        <v>-37.9752504509543</v>
      </c>
      <c r="AS13" s="73" t="str">
        <f t="shared" si="14"/>
        <v>-0,000272527472527473</v>
      </c>
      <c r="AT13" s="73" t="str">
        <f t="shared" si="15"/>
        <v>0,0195319497098646i</v>
      </c>
      <c r="AU13" s="73">
        <f t="shared" si="16"/>
        <v>0.0195319497098646</v>
      </c>
      <c r="AV13" s="73">
        <f t="shared" si="17"/>
        <v>1.5707963267949</v>
      </c>
      <c r="AW13" s="73" t="str">
        <f t="shared" si="18"/>
        <v>1+i</v>
      </c>
      <c r="AX13" s="73">
        <f t="shared" si="19"/>
        <v>1.4142135623731</v>
      </c>
      <c r="AY13" s="73">
        <f t="shared" si="20"/>
        <v>0.785398163397448</v>
      </c>
      <c r="AZ13" s="73" t="str">
        <f t="shared" si="21"/>
        <v>1+47,8085106382978i</v>
      </c>
      <c r="BA13" s="73">
        <f t="shared" si="22"/>
        <v>47.8189678835944</v>
      </c>
      <c r="BB13" s="73">
        <f t="shared" si="23"/>
        <v>1.54988259851258</v>
      </c>
      <c r="BC13" s="69" t="str">
        <f t="shared" si="24"/>
        <v>-0,326557391518059+0,340510298246558i</v>
      </c>
      <c r="BD13" s="73">
        <f t="shared" si="25"/>
        <v>-6.525002171838</v>
      </c>
      <c r="BE13" s="76">
        <f t="shared" si="26"/>
        <v>133.80173163554</v>
      </c>
      <c r="BF13" s="69" t="str">
        <f t="shared" si="27"/>
        <v>0,503613243718059+0,15504224839755i</v>
      </c>
      <c r="BG13" s="75">
        <f t="shared" si="28"/>
        <v>-5.56479801659697</v>
      </c>
      <c r="BH13" s="76">
        <f t="shared" si="29"/>
        <v>17.111492678671</v>
      </c>
      <c r="BI13" s="23" t="str">
        <f t="shared" si="47"/>
        <v>-0,670430036658566+6,57005635448672i</v>
      </c>
      <c r="BJ13" s="75">
        <f t="shared" si="30"/>
        <v>16.3963704118735</v>
      </c>
      <c r="BK13" s="76">
        <f t="shared" si="31"/>
        <v>95.8264811845855</v>
      </c>
      <c r="BL13">
        <f t="shared" si="48"/>
        <v>-5.56479801659697</v>
      </c>
      <c r="BM13">
        <f t="shared" si="49"/>
        <v>17.111492678671</v>
      </c>
    </row>
    <row r="14" customFormat="1" spans="1:68">
      <c r="B14" s="13"/>
      <c r="O14" s="18"/>
      <c r="BO14" t="s">
        <v>462</v>
      </c>
      <c r="BP14" s="78">
        <f>SUM(BP19:BP559)</f>
        <v>45.8943512585297</v>
      </c>
    </row>
    <row r="15" ht="15.75" spans="1:68">
      <c r="A15" s="79" t="s">
        <v>463</v>
      </c>
      <c r="O15" s="18" t="s">
        <v>464</v>
      </c>
      <c r="P15">
        <f>B16</f>
        <v>3</v>
      </c>
      <c r="Q15" t="s">
        <v>7</v>
      </c>
      <c r="BO15" s="80"/>
      <c r="BP15" s="80"/>
    </row>
    <row r="16" ht="15.75" spans="1:68">
      <c r="A16" t="s">
        <v>431</v>
      </c>
      <c r="B16">
        <v>3</v>
      </c>
      <c r="C16" t="s">
        <v>7</v>
      </c>
      <c r="E16" t="s">
        <v>465</v>
      </c>
      <c r="O16" s="81"/>
      <c r="P16" s="25" t="s">
        <v>466</v>
      </c>
      <c r="Q16" s="25"/>
      <c r="R16" s="25"/>
      <c r="S16" s="25"/>
      <c r="T16" s="25"/>
      <c r="U16" s="25"/>
      <c r="V16" s="25"/>
      <c r="W16" s="25"/>
      <c r="X16" s="25"/>
      <c r="Y16" s="25"/>
      <c r="Z16" s="25"/>
      <c r="AA16" s="25"/>
      <c r="AB16" s="25"/>
      <c r="AC16" s="25"/>
      <c r="AD16" s="25"/>
      <c r="AE16" s="26"/>
      <c r="AF16" s="27" t="s">
        <v>467</v>
      </c>
      <c r="AG16" s="25"/>
      <c r="AH16" s="25"/>
      <c r="AI16" s="25"/>
      <c r="AJ16" s="25"/>
      <c r="AK16" s="25"/>
      <c r="AL16" s="25"/>
      <c r="AM16" s="25"/>
      <c r="AN16" s="25"/>
      <c r="AO16" s="25"/>
      <c r="AP16" s="25"/>
      <c r="AQ16" s="25"/>
      <c r="AR16" s="26"/>
      <c r="AS16" s="27" t="s">
        <v>438</v>
      </c>
      <c r="AT16" s="25"/>
      <c r="AU16" s="25"/>
      <c r="AV16" s="25"/>
      <c r="AW16" s="25"/>
      <c r="AX16" s="25"/>
      <c r="AY16" s="25"/>
      <c r="AZ16" s="25"/>
      <c r="BA16" s="25"/>
      <c r="BB16" s="25"/>
      <c r="BC16" s="25"/>
      <c r="BD16" s="25"/>
      <c r="BE16" s="26"/>
      <c r="BF16" s="27" t="s">
        <v>439</v>
      </c>
      <c r="BG16" s="25"/>
      <c r="BH16" s="26"/>
      <c r="BI16" s="27" t="s">
        <v>440</v>
      </c>
      <c r="BJ16" s="25"/>
      <c r="BK16" s="26"/>
      <c r="BL16" s="27" t="s">
        <v>441</v>
      </c>
      <c r="BM16" s="26"/>
      <c r="BO16" s="80"/>
      <c r="BP16" s="80"/>
    </row>
    <row r="17" spans="1:68">
      <c r="A17" t="s">
        <v>468</v>
      </c>
      <c r="B17">
        <f>IOUT</f>
        <v>1</v>
      </c>
      <c r="C17" t="s">
        <v>12</v>
      </c>
      <c r="E17" t="s">
        <v>469</v>
      </c>
      <c r="O17" s="82"/>
      <c r="P17" s="32"/>
      <c r="Q17" s="33" t="s">
        <v>442</v>
      </c>
      <c r="R17" s="33"/>
      <c r="S17" s="33"/>
      <c r="T17" s="34" t="s">
        <v>443</v>
      </c>
      <c r="U17" s="34"/>
      <c r="V17" s="34"/>
      <c r="W17" s="34" t="s">
        <v>446</v>
      </c>
      <c r="X17" s="34"/>
      <c r="Y17" s="34"/>
      <c r="Z17" s="34" t="s">
        <v>444</v>
      </c>
      <c r="AA17" s="34"/>
      <c r="AB17" s="34"/>
      <c r="AC17" s="35" t="s">
        <v>445</v>
      </c>
      <c r="AD17" s="34"/>
      <c r="AE17" s="36"/>
      <c r="AF17" s="34"/>
      <c r="AG17" s="33" t="s">
        <v>442</v>
      </c>
      <c r="AH17" s="33"/>
      <c r="AI17" s="33"/>
      <c r="AJ17" s="37" t="s">
        <v>443</v>
      </c>
      <c r="AK17" s="37"/>
      <c r="AL17" s="37"/>
      <c r="AM17" s="34" t="s">
        <v>446</v>
      </c>
      <c r="AN17" s="34"/>
      <c r="AO17" s="34"/>
      <c r="AP17" s="38" t="s">
        <v>445</v>
      </c>
      <c r="AQ17" s="37"/>
      <c r="AR17" s="39"/>
      <c r="AS17" s="32"/>
      <c r="AT17" s="34" t="s">
        <v>447</v>
      </c>
      <c r="AU17" s="34"/>
      <c r="AV17" s="34"/>
      <c r="AW17" s="34" t="s">
        <v>448</v>
      </c>
      <c r="AX17" s="34"/>
      <c r="AY17" s="34"/>
      <c r="AZ17" s="34" t="s">
        <v>449</v>
      </c>
      <c r="BA17" s="34"/>
      <c r="BB17" s="34"/>
      <c r="BC17" s="35" t="s">
        <v>445</v>
      </c>
      <c r="BD17" s="34"/>
      <c r="BE17" s="36"/>
      <c r="BF17" s="35" t="s">
        <v>445</v>
      </c>
      <c r="BG17" s="34"/>
      <c r="BH17" s="36"/>
      <c r="BI17" s="35" t="s">
        <v>445</v>
      </c>
      <c r="BJ17" s="34"/>
      <c r="BK17" s="36"/>
      <c r="BL17" s="32"/>
      <c r="BM17" s="31"/>
      <c r="BO17" s="80"/>
      <c r="BP17" s="80"/>
    </row>
    <row r="18" ht="15.75" spans="1:68">
      <c r="A18" t="s">
        <v>470</v>
      </c>
      <c r="B18">
        <f>VOUT/(VOUT+VIN_var)</f>
        <v>0.552238805970149</v>
      </c>
      <c r="N18" s="7"/>
      <c r="O18" s="83" t="s">
        <v>471</v>
      </c>
      <c r="P18" s="72" t="s">
        <v>450</v>
      </c>
      <c r="Q18" s="73" t="s">
        <v>451</v>
      </c>
      <c r="R18" s="72" t="s">
        <v>452</v>
      </c>
      <c r="S18" s="72" t="s">
        <v>453</v>
      </c>
      <c r="T18" s="72" t="s">
        <v>451</v>
      </c>
      <c r="U18" s="72" t="s">
        <v>452</v>
      </c>
      <c r="V18" s="72" t="s">
        <v>453</v>
      </c>
      <c r="W18" s="49" t="s">
        <v>451</v>
      </c>
      <c r="X18" s="72" t="s">
        <v>452</v>
      </c>
      <c r="Y18" s="72" t="s">
        <v>453</v>
      </c>
      <c r="Z18" s="49" t="s">
        <v>451</v>
      </c>
      <c r="AA18" s="49" t="s">
        <v>452</v>
      </c>
      <c r="AB18" s="49" t="s">
        <v>453</v>
      </c>
      <c r="AC18" s="48" t="s">
        <v>454</v>
      </c>
      <c r="AD18" s="49" t="s">
        <v>452</v>
      </c>
      <c r="AE18" s="50" t="s">
        <v>453</v>
      </c>
      <c r="AF18" s="84" t="s">
        <v>450</v>
      </c>
      <c r="AG18" s="47" t="s">
        <v>451</v>
      </c>
      <c r="AH18" s="47" t="s">
        <v>455</v>
      </c>
      <c r="AI18" s="47" t="s">
        <v>453</v>
      </c>
      <c r="AJ18" s="47" t="s">
        <v>451</v>
      </c>
      <c r="AK18" s="47" t="s">
        <v>455</v>
      </c>
      <c r="AL18" s="47" t="s">
        <v>453</v>
      </c>
      <c r="AM18" s="47" t="s">
        <v>451</v>
      </c>
      <c r="AN18" s="47" t="s">
        <v>455</v>
      </c>
      <c r="AO18" s="47" t="s">
        <v>453</v>
      </c>
      <c r="AP18" s="48" t="s">
        <v>454</v>
      </c>
      <c r="AQ18" s="49" t="s">
        <v>452</v>
      </c>
      <c r="AR18" s="50" t="s">
        <v>453</v>
      </c>
      <c r="AS18" s="72" t="s">
        <v>456</v>
      </c>
      <c r="AT18" s="49" t="s">
        <v>451</v>
      </c>
      <c r="AU18" s="49" t="s">
        <v>455</v>
      </c>
      <c r="AV18" s="49" t="s">
        <v>453</v>
      </c>
      <c r="AW18" s="49" t="s">
        <v>451</v>
      </c>
      <c r="AX18" s="49" t="s">
        <v>455</v>
      </c>
      <c r="AY18" s="49" t="s">
        <v>453</v>
      </c>
      <c r="AZ18" s="49" t="s">
        <v>451</v>
      </c>
      <c r="BA18" s="49" t="s">
        <v>455</v>
      </c>
      <c r="BB18" s="49" t="s">
        <v>453</v>
      </c>
      <c r="BC18" s="48" t="s">
        <v>454</v>
      </c>
      <c r="BD18" s="49" t="s">
        <v>452</v>
      </c>
      <c r="BE18" s="50" t="s">
        <v>453</v>
      </c>
      <c r="BF18" s="48" t="s">
        <v>454</v>
      </c>
      <c r="BG18" s="49" t="s">
        <v>452</v>
      </c>
      <c r="BH18" s="50" t="s">
        <v>453</v>
      </c>
      <c r="BI18" s="48" t="s">
        <v>454</v>
      </c>
      <c r="BJ18" s="49" t="s">
        <v>452</v>
      </c>
      <c r="BK18" s="50" t="s">
        <v>453</v>
      </c>
      <c r="BL18" s="43" t="s">
        <v>472</v>
      </c>
      <c r="BM18" s="45" t="s">
        <v>473</v>
      </c>
      <c r="BO18" s="80" t="s">
        <v>474</v>
      </c>
      <c r="BP18" s="80" t="s">
        <v>475</v>
      </c>
    </row>
    <row r="19" spans="1:68">
      <c r="A19" t="s">
        <v>115</v>
      </c>
      <c r="B19" s="85">
        <f>VOUT</f>
        <v>3.7</v>
      </c>
      <c r="C19" t="s">
        <v>7</v>
      </c>
      <c r="E19" t="s">
        <v>476</v>
      </c>
      <c r="N19" s="7">
        <v>1</v>
      </c>
      <c r="O19" s="18">
        <f>10^(1+(N19/100))</f>
        <v>10.2329299228075</v>
      </c>
      <c r="P19" s="86" t="str">
        <f t="shared" ref="P19:P82" si="50">COMPLEX(Adc,0)</f>
        <v>96,0576923076923</v>
      </c>
      <c r="Q19" s="4" t="str">
        <f t="shared" ref="Q19:Q82" si="51">IMSUM(COMPLEX(1,0),IMDIV(COMPLEX(0,2*PI()*O19),COMPLEX(wp_lf,0)))</f>
        <v>1+0,0858244606461889i</v>
      </c>
      <c r="R19" s="4">
        <f>IMABS(Q19)</f>
        <v>1.0036761619393</v>
      </c>
      <c r="S19" s="4">
        <f>IMARGUMENT(Q19)</f>
        <v>0.0856146640394742</v>
      </c>
      <c r="T19" s="4" t="str">
        <f t="shared" ref="T19:T82" si="52">IMSUM(COMPLEX(1,0),IMDIV(COMPLEX(0,2*PI()*O19),COMPLEX(wz_esr,0)))</f>
        <v>1+0,0010081517926652i</v>
      </c>
      <c r="U19" s="4">
        <f>IMABS(T19)</f>
        <v>1.00000050818489</v>
      </c>
      <c r="V19" s="4">
        <f>IMARGUMENT(T19)</f>
        <v>0.00100815145111365</v>
      </c>
      <c r="W19" t="str">
        <f t="shared" ref="W19:W82" si="53">IMSUB(COMPLEX(1,0),IMDIV(COMPLEX(0,2*PI()*O19),COMPLEX(wz_rhp,0)))</f>
        <v>1-0,000478643495667292i</v>
      </c>
      <c r="X19" s="4">
        <f>IMABS(W19)</f>
        <v>1.00000011454979</v>
      </c>
      <c r="Y19" s="4">
        <f>IMARGUMENT(W19)</f>
        <v>-0.000478643459114953</v>
      </c>
      <c r="Z19" t="str">
        <f t="shared" ref="Z19:Z82" si="54">IMSUM(COMPLEX(1,0),IMDIV(COMPLEX(0,2*PI()*O19),COMPLEX(Q*(wsl/2),0)),IMDIV(IMPOWER(COMPLEX(0,2*PI()*O19),2),IMPOWER(COMPLEX(wsl/2,0),2)))</f>
        <v>0,999999999145201+0,000820486010060104i</v>
      </c>
      <c r="AA19" s="4">
        <f>IMABS(Z19)</f>
        <v>1.00000033574379</v>
      </c>
      <c r="AB19" s="4">
        <f>IMARGUMENT(Z19)</f>
        <v>0.000820485826645208</v>
      </c>
      <c r="AC19" s="67" t="str">
        <f>(IMDIV(IMPRODUCT(P19,T19,W19),IMPRODUCT(Q19,Z19)))</f>
        <v>95,3529624791918-8,21156724272891i</v>
      </c>
      <c r="AD19" s="68">
        <f>20*LOG(IMABS(AC19))</f>
        <v>39.6187732822543</v>
      </c>
      <c r="AE19" s="31">
        <f>(180/PI())*IMARGUMENT(AC19)</f>
        <v>-4.92203071574943</v>
      </c>
      <c r="AF19" s="32" t="str">
        <f>COMPLEX($B$68,0)</f>
        <v>236,914774604583</v>
      </c>
      <c r="AG19" s="32" t="str">
        <f t="shared" ref="AG19:AG82" si="55">IMSUM(COMPLEX(1,0),IMDIV(COMPLEX(0,2*PI()*O19),COMPLEX(wp_lf_DCM,0)))</f>
        <v>1+0,0211941001867115i</v>
      </c>
      <c r="AH19" s="32">
        <f>IMABS(AG19)</f>
        <v>1.00022456972558</v>
      </c>
      <c r="AI19" s="32">
        <f>IMARGUMENT(AG19)</f>
        <v>0.021190927649918</v>
      </c>
      <c r="AJ19" s="32" t="str">
        <f t="shared" ref="AJ19:AJ82" si="56">IMSUM(COMPLEX(1,0),IMDIV(COMPLEX(0,2*PI()*O19),COMPLEX(wz1_dcm,0)))</f>
        <v>1+0,0010081517926652i</v>
      </c>
      <c r="AK19" s="32">
        <f>IMABS(AJ19)</f>
        <v>1.00000050818489</v>
      </c>
      <c r="AL19" s="32">
        <f>IMARGUMENT(AJ19)</f>
        <v>0.00100815145111365</v>
      </c>
      <c r="AM19" s="32" t="str">
        <f t="shared" ref="AM19:AM82" si="57">IMSUB(COMPLEX(1,0),IMDIV(COMPLEX(0,2*PI()*O19),COMPLEX(wz2_dcm,0)))</f>
        <v>1-0,0000479229579089638i</v>
      </c>
      <c r="AN19" s="32">
        <f>IMABS(AM19)</f>
        <v>1.0000000011483</v>
      </c>
      <c r="AO19" s="32">
        <f>IMARGUMENT(AM19)</f>
        <v>-4.7922957872277e-5</v>
      </c>
      <c r="AP19" s="30" t="str">
        <f>(IMDIV(IMPRODUCT(AF19,AJ19,AM19),IMPRODUCT(AG19)))</f>
        <v>236,81323343891-4,79155099708826i</v>
      </c>
      <c r="AQ19" s="32">
        <f>20*LOG(IMABS(AP19))</f>
        <v>47.4898969605405</v>
      </c>
      <c r="AR19" s="31">
        <f>(180/PI())*IMARGUMENT(AP19)</f>
        <v>-1.15913367827645</v>
      </c>
      <c r="AS19" t="str">
        <f t="shared" ref="AS19:AS82" si="58">COMPLEX(Adc_ea,0)</f>
        <v>-0,000272527472527473</v>
      </c>
      <c r="AT19" t="str">
        <f t="shared" ref="AT19:AT82" si="59">COMPLEX(0,2*PI()*O19*wp0_ea)</f>
        <v>0,0000144471752431039i</v>
      </c>
      <c r="AU19">
        <f>IMABS(AT19)</f>
        <v>1.44471752431039e-5</v>
      </c>
      <c r="AV19">
        <f>IMARGUMENT(AT19)</f>
        <v>1.5707963267949</v>
      </c>
      <c r="AW19" t="str">
        <f t="shared" ref="AW19:AW82" si="60">IMSUM(COMPLEX(1,0),IMDIV(COMPLEX(0,2*PI()*O19),COMPLEX(wp1_ea,0)))</f>
        <v>1+0,000739668873702219i</v>
      </c>
      <c r="AX19">
        <f>IMABS(AW19)</f>
        <v>1.00000027355498</v>
      </c>
      <c r="AY19">
        <f>IMARGUMENT(AW19)</f>
        <v>0.00073966873880884</v>
      </c>
      <c r="AZ19" t="str">
        <f t="shared" ref="AZ19:AZ82" si="61">IMSUM(COMPLEX(1,0),IMDIV(COMPLEX(0,2*PI()*O19),COMPLEX(wz_ea,0)))</f>
        <v>1+0,0353624672172103i</v>
      </c>
      <c r="BA19">
        <f>IMABS(AZ19)</f>
        <v>1.00062505669591</v>
      </c>
      <c r="BB19">
        <f>IMARGUMENT(AZ19)</f>
        <v>0.0353477379637583</v>
      </c>
      <c r="BC19" s="30" t="str">
        <f>IMPRODUCT(AS19,IMDIV(AZ19,IMPRODUCT(AT19,AW19)))</f>
        <v>-0,65311442571066+18,8642033618651i</v>
      </c>
      <c r="BD19" s="32">
        <f>20*LOG(IMABS(BC19))</f>
        <v>25.5179720559039</v>
      </c>
      <c r="BE19" s="31">
        <f>(180/PI())*IMARGUMENT(BC19)</f>
        <v>91.9828963036862</v>
      </c>
      <c r="BF19" s="30" t="str">
        <f>IMPRODUCT(AC19,BC19)</f>
        <v>92,6282790570606+1804,12076838769i</v>
      </c>
      <c r="BG19" s="68">
        <f>20*LOG(IMABS(BF19))</f>
        <v>65.1367453381581</v>
      </c>
      <c r="BH19" s="31">
        <f>(180/PI())*IMARGUMENT(BF19)</f>
        <v>87.0608655879368</v>
      </c>
      <c r="BI19" s="30" t="str">
        <f>IMPRODUCT(AP19,BC19)</f>
        <v>-64,2773465303178+4470,42242545016i</v>
      </c>
      <c r="BJ19" s="68">
        <f>20*LOG(IMABS(BI19))</f>
        <v>73.0078690164444</v>
      </c>
      <c r="BK19" s="31">
        <f>(180/PI())*IMARGUMENT(BI19)</f>
        <v>90.8237626254097</v>
      </c>
      <c r="BL19" s="32">
        <f>IF($B$31=0,BJ19,BG19)</f>
        <v>65.1367453381581</v>
      </c>
      <c r="BM19" s="31">
        <f>IF($B$31=0,BK19,BH19)</f>
        <v>87.0608655879368</v>
      </c>
      <c r="BO19">
        <f>SUM((BL20&lt;0)*(BL19&gt;0))*O19</f>
        <v>0</v>
      </c>
      <c r="BP19">
        <f>IF(BO19&gt;0,BM19,0)</f>
        <v>0</v>
      </c>
    </row>
    <row r="20" spans="1:68">
      <c r="A20" t="s">
        <v>117</v>
      </c>
      <c r="B20" s="85">
        <f>IOUT</f>
        <v>1</v>
      </c>
      <c r="C20" t="s">
        <v>12</v>
      </c>
      <c r="E20" t="s">
        <v>118</v>
      </c>
      <c r="N20" s="7">
        <v>2</v>
      </c>
      <c r="O20" s="18">
        <f t="shared" ref="O20:O83" si="62">10^(1+(N20/100))</f>
        <v>10.471285480509</v>
      </c>
      <c r="P20" s="86" t="str">
        <f t="shared" si="50"/>
        <v>96,0576923076923</v>
      </c>
      <c r="Q20" s="4" t="str">
        <f t="shared" si="51"/>
        <v>1+0,0878235691455209i</v>
      </c>
      <c r="R20" s="4">
        <f t="shared" ref="R20:R83" si="63">IMABS(Q20)</f>
        <v>1.00384908193287</v>
      </c>
      <c r="S20" s="4">
        <f t="shared" ref="S20:S83" si="64">IMARGUMENT(Q20)</f>
        <v>0.087598814558542</v>
      </c>
      <c r="T20" s="4" t="str">
        <f t="shared" si="52"/>
        <v>1+0,00103163466458958i</v>
      </c>
      <c r="U20" s="4">
        <f t="shared" ref="U20:U83" si="65">IMABS(T20)</f>
        <v>1.0000005321349</v>
      </c>
      <c r="V20" s="4">
        <f t="shared" ref="V20:V83" si="66">IMARGUMENT(T20)</f>
        <v>0.00103163429861051</v>
      </c>
      <c r="W20" t="str">
        <f t="shared" si="53"/>
        <v>1-0,000489792534917106i</v>
      </c>
      <c r="X20" s="4">
        <f t="shared" ref="X20:X83" si="67">IMABS(W20)</f>
        <v>1.00000011994836</v>
      </c>
      <c r="Y20" s="4">
        <f t="shared" ref="Y20:Y83" si="68">IMARGUMENT(W20)</f>
        <v>-0.00048979249575057</v>
      </c>
      <c r="Z20" t="str">
        <f t="shared" si="54"/>
        <v>0,999999999104916+0,000839597584358905i</v>
      </c>
      <c r="AA20" s="4">
        <f t="shared" ref="AA20:AA83" si="69">IMABS(Z20)</f>
        <v>1.00000035156691</v>
      </c>
      <c r="AB20" s="4">
        <f t="shared" ref="AB20:AB83" si="70">IMARGUMENT(Z20)</f>
        <v>0.000839597387826307</v>
      </c>
      <c r="AC20" s="67" t="str">
        <f t="shared" ref="AC20:AC83" si="71">(IMDIV(IMPRODUCT(P20,T20,W20),IMPRODUCT(Q20,Z20)))</f>
        <v>95,3200037951713-8,39994466679278i</v>
      </c>
      <c r="AD20" s="68">
        <f t="shared" ref="AD20:AD83" si="72">20*LOG(IMABS(AC20))</f>
        <v>39.6172770658894</v>
      </c>
      <c r="AE20" s="31">
        <f t="shared" ref="AE20:AE83" si="73">(180/PI())*IMARGUMENT(AC20)</f>
        <v>-5.03610250289863</v>
      </c>
      <c r="AF20" s="32" t="str">
        <f t="shared" ref="AF20:AF83" si="74">COMPLEX($B$68,0)</f>
        <v>236,914774604583</v>
      </c>
      <c r="AG20" s="32" t="str">
        <f t="shared" si="55"/>
        <v>1+0,0216877741987582i</v>
      </c>
      <c r="AH20" s="32">
        <f t="shared" ref="AH20:AH83" si="75">IMABS(AG20)</f>
        <v>1.00023515212659</v>
      </c>
      <c r="AI20" s="32">
        <f t="shared" ref="AI20:AI83" si="76">IMARGUMENT(AG20)</f>
        <v>0.0216843748074996</v>
      </c>
      <c r="AJ20" s="32" t="str">
        <f t="shared" si="56"/>
        <v>1+0,00103163466458958i</v>
      </c>
      <c r="AK20" s="32">
        <f t="shared" ref="AK20:AK83" si="77">IMABS(AJ20)</f>
        <v>1.0000005321349</v>
      </c>
      <c r="AL20" s="32">
        <f t="shared" ref="AL20:AL83" si="78">IMARGUMENT(AJ20)</f>
        <v>0.00103163429861051</v>
      </c>
      <c r="AM20" s="32" t="str">
        <f t="shared" si="57"/>
        <v>1-0,0000490392269976085i</v>
      </c>
      <c r="AN20" s="32">
        <f t="shared" ref="AN20:AN83" si="79">IMABS(AM20)</f>
        <v>1.00000000120242</v>
      </c>
      <c r="AO20" s="32">
        <f t="shared" ref="AO20:AO83" si="80">IMARGUMENT(AM20)</f>
        <v>-4.90392269582979e-5</v>
      </c>
      <c r="AP20" s="30" t="str">
        <f t="shared" ref="AP20:AP83" si="81">(IMDIV(IMPRODUCT(AF20,AJ20,AM20),IMPRODUCT(AG20)))</f>
        <v>236,808450201047-4,90305681969358i</v>
      </c>
      <c r="AQ20" s="32">
        <f t="shared" ref="AQ20:AQ83" si="82">20*LOG(IMABS(AP20))</f>
        <v>47.4898052725938</v>
      </c>
      <c r="AR20" s="31">
        <f t="shared" ref="AR20:AR83" si="83">(180/PI())*IMARGUMENT(AP20)</f>
        <v>-1.18612460727351</v>
      </c>
      <c r="AS20" t="str">
        <f t="shared" si="58"/>
        <v>-0,000272527472527473</v>
      </c>
      <c r="AT20" t="str">
        <f t="shared" si="59"/>
        <v>0,0000147836931845203i</v>
      </c>
      <c r="AU20">
        <f t="shared" ref="AU20:AU83" si="84">IMABS(AT20)</f>
        <v>1.47836931845203e-5</v>
      </c>
      <c r="AV20">
        <f t="shared" ref="AV20:AV83" si="85">IMARGUMENT(AT20)</f>
        <v>1.5707963267949</v>
      </c>
      <c r="AW20" t="str">
        <f t="shared" si="60"/>
        <v>1+0,000756897975067682i</v>
      </c>
      <c r="AX20">
        <f t="shared" ref="AX20:AX83" si="86">IMABS(AW20)</f>
        <v>1.00000028644723</v>
      </c>
      <c r="AY20">
        <f t="shared" ref="AY20:AY83" si="87">IMARGUMENT(AW20)</f>
        <v>0.000756897830526825</v>
      </c>
      <c r="AZ20" t="str">
        <f t="shared" si="61"/>
        <v>1+0,0361861648931294i</v>
      </c>
      <c r="BA20">
        <f t="shared" ref="BA20:BA83" si="88">IMABS(AZ20)</f>
        <v>1.00065450507639</v>
      </c>
      <c r="BB20">
        <f t="shared" ref="BB20:BB83" si="89">IMARGUMENT(AZ20)</f>
        <v>0.0361703827711888</v>
      </c>
      <c r="BC20" s="30" t="str">
        <f t="shared" ref="BC20:BC83" si="90">IMPRODUCT(AS20,IMDIV(AZ20,IMPRODUCT(AT20,AW20)))</f>
        <v>-0,653114408870441+18,4348239178908i</v>
      </c>
      <c r="BD20" s="32">
        <f t="shared" ref="BD20:BD83" si="91">20*LOG(IMABS(BC20))</f>
        <v>25.3182275657641</v>
      </c>
      <c r="BE20" s="31">
        <f t="shared" ref="BE20:BE83" si="92">(180/PI())*IMARGUMENT(BC20)</f>
        <v>92.02904322495</v>
      </c>
      <c r="BF20" s="30" t="str">
        <f t="shared" ref="BF20:BF83" si="93">IMPRODUCT(AC20,BC20)</f>
        <v>92,5966329201393+1762,69361071226i</v>
      </c>
      <c r="BG20" s="68">
        <f t="shared" ref="BG20:BG83" si="94">20*LOG(IMABS(BF20))</f>
        <v>64.9355046316535</v>
      </c>
      <c r="BH20" s="31">
        <f t="shared" ref="BH20:BH83" si="95">(180/PI())*IMARGUMENT(BF20)</f>
        <v>86.9929407220514</v>
      </c>
      <c r="BI20" s="30" t="str">
        <f t="shared" ref="BI20:BI49" si="96">IMPRODUCT(AP20,BC20)</f>
        <v>-64,2760218381173+4368,72433878137i</v>
      </c>
      <c r="BJ20" s="68">
        <f t="shared" ref="BJ20:BJ83" si="97">20*LOG(IMABS(BI20))</f>
        <v>72.808032838358</v>
      </c>
      <c r="BK20" s="31">
        <f t="shared" ref="BK20:BK49" si="98">(180/PI())*IMARGUMENT(BI20)</f>
        <v>90.8429186176765</v>
      </c>
      <c r="BL20" s="32">
        <f t="shared" ref="BL20:BL83" si="99">IF($B$31=0,BJ20,BG20)</f>
        <v>64.9355046316535</v>
      </c>
      <c r="BM20" s="31">
        <f t="shared" ref="BM20:BM83" si="100">IF($B$31=0,BK20,BH20)</f>
        <v>86.9929407220514</v>
      </c>
      <c r="BO20">
        <f t="shared" ref="BO20:BO83" si="101">SUM((BL21&lt;0)*(BL20&gt;0))*O20</f>
        <v>0</v>
      </c>
      <c r="BP20">
        <f t="shared" ref="BP20:BP83" si="102">IF(BO20&gt;0,BM20,0)</f>
        <v>0</v>
      </c>
    </row>
    <row r="21" customFormat="1" spans="1:68">
      <c r="N21" s="7">
        <v>3</v>
      </c>
      <c r="O21" s="18">
        <f t="shared" si="62"/>
        <v>10.7151930523761</v>
      </c>
      <c r="P21" s="86" t="str">
        <f t="shared" si="50"/>
        <v>96,0576923076923</v>
      </c>
      <c r="Q21" s="4" t="str">
        <f t="shared" si="51"/>
        <v>1+0,0898692428636961i</v>
      </c>
      <c r="R21" s="4">
        <f t="shared" si="63"/>
        <v>1.00403011947496</v>
      </c>
      <c r="S21" s="4">
        <f t="shared" si="64"/>
        <v>0.0896284661629759</v>
      </c>
      <c r="T21" s="4" t="str">
        <f t="shared" si="52"/>
        <v>1+0,00105566452286843i</v>
      </c>
      <c r="U21" s="4">
        <f t="shared" si="65"/>
        <v>1.00000055721364</v>
      </c>
      <c r="V21" s="4">
        <f t="shared" si="66"/>
        <v>0.0010556641307148</v>
      </c>
      <c r="W21" t="str">
        <f t="shared" si="53"/>
        <v>1-0,000501201268652102i</v>
      </c>
      <c r="X21" s="4">
        <f t="shared" si="67"/>
        <v>1.00000012560135</v>
      </c>
      <c r="Y21" s="4">
        <f t="shared" si="68"/>
        <v>-0.000501201226684402</v>
      </c>
      <c r="Z21" t="str">
        <f t="shared" si="54"/>
        <v>0,999999999062732+0,000859154324410319i</v>
      </c>
      <c r="AA21" s="4">
        <f t="shared" si="69"/>
        <v>1.00000036813574</v>
      </c>
      <c r="AB21" s="4">
        <f t="shared" si="70"/>
        <v>0.00085915411382185</v>
      </c>
      <c r="AC21" s="67" t="str">
        <f t="shared" si="71"/>
        <v>95,2855161454134-8,59250513510096i</v>
      </c>
      <c r="AD21" s="68">
        <f t="shared" si="72"/>
        <v>39.615710887394</v>
      </c>
      <c r="AE21" s="31">
        <f t="shared" si="73"/>
        <v>-5.15279035574542</v>
      </c>
      <c r="AF21" s="32" t="str">
        <f t="shared" si="74"/>
        <v>236,914774604583</v>
      </c>
      <c r="AG21" s="32" t="str">
        <f t="shared" si="55"/>
        <v>1+0,0221929473557567i</v>
      </c>
      <c r="AH21" s="32">
        <f t="shared" si="75"/>
        <v>1.00024623314079</v>
      </c>
      <c r="AI21" s="32">
        <f t="shared" si="76"/>
        <v>0.0221893048908244</v>
      </c>
      <c r="AJ21" s="32" t="str">
        <f t="shared" si="56"/>
        <v>1+0,00105566452286843i</v>
      </c>
      <c r="AK21" s="32">
        <f t="shared" si="77"/>
        <v>1.00000055721364</v>
      </c>
      <c r="AL21" s="32">
        <f t="shared" si="78"/>
        <v>0.0010556641307148</v>
      </c>
      <c r="AM21" s="32" t="str">
        <f t="shared" si="57"/>
        <v>1-0,0000501814973335181i</v>
      </c>
      <c r="AN21" s="32">
        <f t="shared" si="79"/>
        <v>1.00000000125909</v>
      </c>
      <c r="AO21" s="32">
        <f t="shared" si="80"/>
        <v>-5.0181497291396e-5</v>
      </c>
      <c r="AP21" s="30" t="str">
        <f t="shared" si="81"/>
        <v>236,803441753081-5,01715253212478i</v>
      </c>
      <c r="AQ21" s="32">
        <f t="shared" si="82"/>
        <v>47.4897092656114</v>
      </c>
      <c r="AR21" s="31">
        <f t="shared" si="83"/>
        <v>-1.21374360930437</v>
      </c>
      <c r="AS21" t="str">
        <f t="shared" si="58"/>
        <v>-0,000272527472527473</v>
      </c>
      <c r="AT21" t="str">
        <f t="shared" si="59"/>
        <v>0,0000151280496357484i</v>
      </c>
      <c r="AU21">
        <f t="shared" si="84"/>
        <v>1.51280496357484e-5</v>
      </c>
      <c r="AV21">
        <f t="shared" si="85"/>
        <v>1.5707963267949</v>
      </c>
      <c r="AW21" t="str">
        <f t="shared" si="60"/>
        <v>1+0,000774528393758255i</v>
      </c>
      <c r="AX21">
        <f t="shared" si="86"/>
        <v>1.00000029994707</v>
      </c>
      <c r="AY21">
        <f t="shared" si="87"/>
        <v>0.000774528238879939</v>
      </c>
      <c r="AZ21" t="str">
        <f t="shared" si="61"/>
        <v>1+0,0370290489526552i</v>
      </c>
      <c r="BA21">
        <f t="shared" si="88"/>
        <v>1.00068534038745</v>
      </c>
      <c r="BB21">
        <f t="shared" si="89"/>
        <v>0.0370121387297729</v>
      </c>
      <c r="BC21" s="30" t="str">
        <f t="shared" si="90"/>
        <v>-0,653114391236565+18,0152188615705i</v>
      </c>
      <c r="BD21" s="32">
        <f t="shared" si="91"/>
        <v>25.1184951013082</v>
      </c>
      <c r="BE21" s="31">
        <f t="shared" si="92"/>
        <v>92.0762621407672</v>
      </c>
      <c r="BF21" s="30" t="str">
        <f t="shared" si="93"/>
        <v>92,5635187070386+1722,20131645784i</v>
      </c>
      <c r="BG21" s="68">
        <f t="shared" si="94"/>
        <v>64.7342059887021</v>
      </c>
      <c r="BH21" s="31">
        <f t="shared" si="95"/>
        <v>86.9234717850217</v>
      </c>
      <c r="BI21" s="30" t="str">
        <f t="shared" si="96"/>
        <v>-64,2746347751764+4269,34260487668i</v>
      </c>
      <c r="BJ21" s="68">
        <f t="shared" si="97"/>
        <v>72.6082043669195</v>
      </c>
      <c r="BK21" s="31">
        <f t="shared" si="98"/>
        <v>90.8625185314628</v>
      </c>
      <c r="BL21" s="32">
        <f t="shared" si="99"/>
        <v>64.7342059887021</v>
      </c>
      <c r="BM21" s="31">
        <f t="shared" si="100"/>
        <v>86.9234717850217</v>
      </c>
      <c r="BO21">
        <f t="shared" si="101"/>
        <v>0</v>
      </c>
      <c r="BP21">
        <f t="shared" si="102"/>
        <v>0</v>
      </c>
    </row>
    <row r="22" spans="1:68">
      <c r="A22" t="s">
        <v>477</v>
      </c>
      <c r="N22" s="7">
        <v>4</v>
      </c>
      <c r="O22" s="18">
        <f t="shared" si="62"/>
        <v>10.9647819614319</v>
      </c>
      <c r="P22" s="86" t="str">
        <f t="shared" si="50"/>
        <v>96,0576923076923</v>
      </c>
      <c r="Q22" s="4" t="str">
        <f t="shared" si="51"/>
        <v>1+0,0919625664439975i</v>
      </c>
      <c r="R22" s="4">
        <f t="shared" si="63"/>
        <v>1.00421965407323</v>
      </c>
      <c r="S22" s="4">
        <f t="shared" si="64"/>
        <v>0.0917046280749082</v>
      </c>
      <c r="T22" s="4" t="str">
        <f t="shared" si="52"/>
        <v>1+0,00108025410845067i</v>
      </c>
      <c r="U22" s="4">
        <f t="shared" si="65"/>
        <v>1.0000005834743</v>
      </c>
      <c r="V22" s="4">
        <f t="shared" si="66"/>
        <v>0.0010802536882505</v>
      </c>
      <c r="W22" t="str">
        <f t="shared" si="53"/>
        <v>1-0,000512875745933921i</v>
      </c>
      <c r="X22" s="4">
        <f t="shared" si="67"/>
        <v>1.00000013152076</v>
      </c>
      <c r="Y22" s="4">
        <f t="shared" si="68"/>
        <v>-0.000512875700964721</v>
      </c>
      <c r="Z22" t="str">
        <f t="shared" si="54"/>
        <v>0,99999999901856+0,000879166599456786i</v>
      </c>
      <c r="AA22" s="4">
        <f t="shared" si="69"/>
        <v>1.00000038548544</v>
      </c>
      <c r="AB22" s="4">
        <f t="shared" si="70"/>
        <v>0.000879166373807181</v>
      </c>
      <c r="AC22" s="67" t="str">
        <f t="shared" si="71"/>
        <v>95,2494297903516-8,78933169812913i</v>
      </c>
      <c r="AD22" s="68">
        <f t="shared" si="72"/>
        <v>39.6140715024095</v>
      </c>
      <c r="AE22" s="31">
        <f t="shared" si="73"/>
        <v>-5.27215230915803</v>
      </c>
      <c r="AF22" s="32" t="str">
        <f t="shared" si="74"/>
        <v>236,914774604583</v>
      </c>
      <c r="AG22" s="32" t="str">
        <f t="shared" si="55"/>
        <v>1+0,0227098875072015i</v>
      </c>
      <c r="AH22" s="32">
        <f t="shared" si="75"/>
        <v>1.00025783625553</v>
      </c>
      <c r="AI22" s="32">
        <f t="shared" si="76"/>
        <v>0.0227059845900425</v>
      </c>
      <c r="AJ22" s="32" t="str">
        <f t="shared" si="56"/>
        <v>1+0,00108025410845067i</v>
      </c>
      <c r="AK22" s="32">
        <f t="shared" si="77"/>
        <v>1.0000005834743</v>
      </c>
      <c r="AL22" s="32">
        <f t="shared" si="78"/>
        <v>0.0010802536882505</v>
      </c>
      <c r="AM22" s="32" t="str">
        <f t="shared" si="57"/>
        <v>1-0,0000513503745635445i</v>
      </c>
      <c r="AN22" s="32">
        <f t="shared" si="79"/>
        <v>1.00000000131843</v>
      </c>
      <c r="AO22" s="32">
        <f t="shared" si="80"/>
        <v>-5.13503745184099e-5</v>
      </c>
      <c r="AP22" s="30" t="str">
        <f t="shared" si="81"/>
        <v>236,798197502104-5,13389793097719i</v>
      </c>
      <c r="AQ22" s="32">
        <f t="shared" si="82"/>
        <v>47.4896087362443</v>
      </c>
      <c r="AR22" s="31">
        <f t="shared" si="83"/>
        <v>-1.24200526929465</v>
      </c>
      <c r="AS22" t="str">
        <f t="shared" si="58"/>
        <v>-0,000272527472527473</v>
      </c>
      <c r="AT22" t="str">
        <f t="shared" si="59"/>
        <v>0,0000154804271791368i</v>
      </c>
      <c r="AU22">
        <f t="shared" si="84"/>
        <v>1.54804271791368e-5</v>
      </c>
      <c r="AV22">
        <f t="shared" si="85"/>
        <v>1.5707963267949</v>
      </c>
      <c r="AW22" t="str">
        <f t="shared" si="60"/>
        <v>1+0,000792569477655292i</v>
      </c>
      <c r="AX22">
        <f t="shared" si="86"/>
        <v>1.00000031408314</v>
      </c>
      <c r="AY22">
        <f t="shared" si="87"/>
        <v>0.000792569311700189</v>
      </c>
      <c r="AZ22" t="str">
        <f t="shared" si="61"/>
        <v>1+0,0378915663040731i</v>
      </c>
      <c r="BA22">
        <f t="shared" si="88"/>
        <v>1.00071762790358</v>
      </c>
      <c r="BB22">
        <f t="shared" si="89"/>
        <v>0.0378734473755072</v>
      </c>
      <c r="BC22" s="30" t="str">
        <f t="shared" si="90"/>
        <v>-0,653114372771629+17,6051657127489i</v>
      </c>
      <c r="BD22" s="32">
        <f t="shared" si="91"/>
        <v>24.9187752277354</v>
      </c>
      <c r="BE22" s="31">
        <f t="shared" si="92"/>
        <v>92.1245778136954</v>
      </c>
      <c r="BF22" s="30" t="str">
        <f t="shared" si="93"/>
        <v>92,5288694554992+1682,62243436309i</v>
      </c>
      <c r="BG22" s="68">
        <f t="shared" si="94"/>
        <v>64.5328467301449</v>
      </c>
      <c r="BH22" s="31">
        <f t="shared" si="95"/>
        <v>86.8524255045374</v>
      </c>
      <c r="BI22" s="30" t="str">
        <f t="shared" si="96"/>
        <v>-64,2731824078468+4172,22453003185i</v>
      </c>
      <c r="BJ22" s="68">
        <f t="shared" si="97"/>
        <v>72.4083839639796</v>
      </c>
      <c r="BK22" s="31">
        <f t="shared" si="98"/>
        <v>90.8825725444007</v>
      </c>
      <c r="BL22" s="32">
        <f t="shared" si="99"/>
        <v>64.5328467301449</v>
      </c>
      <c r="BM22" s="31">
        <f t="shared" si="100"/>
        <v>86.8524255045374</v>
      </c>
      <c r="BO22">
        <f t="shared" si="101"/>
        <v>0</v>
      </c>
      <c r="BP22">
        <f t="shared" si="102"/>
        <v>0</v>
      </c>
    </row>
    <row r="23" spans="1:68">
      <c r="A23" t="s">
        <v>478</v>
      </c>
      <c r="B23" s="85">
        <f>Lm</f>
        <v>1e-5</v>
      </c>
      <c r="C23" t="s">
        <v>139</v>
      </c>
      <c r="E23" t="s">
        <v>479</v>
      </c>
      <c r="N23" s="7">
        <v>5</v>
      </c>
      <c r="O23" s="18">
        <f t="shared" si="62"/>
        <v>11.2201845430196</v>
      </c>
      <c r="P23" s="86" t="str">
        <f t="shared" si="50"/>
        <v>96,0576923076923</v>
      </c>
      <c r="Q23" s="4" t="str">
        <f t="shared" si="51"/>
        <v>1+0,0941046497942952i</v>
      </c>
      <c r="R23" s="4">
        <f t="shared" si="63"/>
        <v>1.00441808282851</v>
      </c>
      <c r="S23" s="4">
        <f t="shared" si="64"/>
        <v>0.0938283294697707</v>
      </c>
      <c r="T23" s="4" t="str">
        <f t="shared" si="52"/>
        <v>1+0,00110541645906006i</v>
      </c>
      <c r="U23" s="4">
        <f t="shared" si="65"/>
        <v>1.00000061097259</v>
      </c>
      <c r="V23" s="4">
        <f t="shared" si="66"/>
        <v>0.00110541600880748</v>
      </c>
      <c r="W23" t="str">
        <f t="shared" si="53"/>
        <v>1-0,000524822156724942i</v>
      </c>
      <c r="X23" s="4">
        <f t="shared" si="67"/>
        <v>1.00000013771914</v>
      </c>
      <c r="Y23" s="4">
        <f t="shared" si="68"/>
        <v>-0.000524822108539576</v>
      </c>
      <c r="Z23" t="str">
        <f t="shared" si="54"/>
        <v>0,999999998972306+0,000899645020271424i</v>
      </c>
      <c r="AA23" s="4">
        <f t="shared" si="69"/>
        <v>1.00000040365281</v>
      </c>
      <c r="AB23" s="4">
        <f t="shared" si="70"/>
        <v>0.000899644778483521</v>
      </c>
      <c r="AC23" s="67" t="str">
        <f t="shared" si="71"/>
        <v>95,2116719231391-8,99050834380103i</v>
      </c>
      <c r="AD23" s="68">
        <f t="shared" si="72"/>
        <v>39.6123555187107</v>
      </c>
      <c r="AE23" s="31">
        <f t="shared" si="73"/>
        <v>-5.39424754615253</v>
      </c>
      <c r="AF23" s="32" t="str">
        <f t="shared" si="74"/>
        <v>236,914774604583</v>
      </c>
      <c r="AG23" s="32" t="str">
        <f t="shared" si="55"/>
        <v>1+0,0232388687416034i</v>
      </c>
      <c r="AH23" s="32">
        <f t="shared" si="75"/>
        <v>1.00026998606396</v>
      </c>
      <c r="AI23" s="32">
        <f t="shared" si="76"/>
        <v>0.0232346867514831</v>
      </c>
      <c r="AJ23" s="32" t="str">
        <f t="shared" si="56"/>
        <v>1+0,00110541645906006i</v>
      </c>
      <c r="AK23" s="32">
        <f t="shared" si="77"/>
        <v>1.00000061097259</v>
      </c>
      <c r="AL23" s="32">
        <f t="shared" si="78"/>
        <v>0.00110541600880748</v>
      </c>
      <c r="AM23" s="32" t="str">
        <f t="shared" si="57"/>
        <v>1-0,0000525464784418665i</v>
      </c>
      <c r="AN23" s="32">
        <f t="shared" si="79"/>
        <v>1.00000000138057</v>
      </c>
      <c r="AO23" s="32">
        <f t="shared" si="80"/>
        <v>-5.25464783935039e-5</v>
      </c>
      <c r="AP23" s="30" t="str">
        <f t="shared" si="81"/>
        <v>236,792706357993-5,25335416787634i</v>
      </c>
      <c r="AQ23" s="32">
        <f t="shared" si="82"/>
        <v>47.4895034715795</v>
      </c>
      <c r="AR23" s="31">
        <f t="shared" si="83"/>
        <v>-1.27092450869787</v>
      </c>
      <c r="AS23" t="str">
        <f t="shared" si="58"/>
        <v>-0,000272527472527473</v>
      </c>
      <c r="AT23" t="str">
        <f t="shared" si="59"/>
        <v>0,0000158410126499231i</v>
      </c>
      <c r="AU23">
        <f t="shared" si="84"/>
        <v>1.58410126499231e-5</v>
      </c>
      <c r="AV23">
        <f t="shared" si="85"/>
        <v>1.5707963267949</v>
      </c>
      <c r="AW23" t="str">
        <f t="shared" si="60"/>
        <v>1+0,000811030792380272i</v>
      </c>
      <c r="AX23">
        <f t="shared" si="86"/>
        <v>1.00000032888542</v>
      </c>
      <c r="AY23">
        <f t="shared" si="87"/>
        <v>0.000811030614556178</v>
      </c>
      <c r="AZ23" t="str">
        <f t="shared" si="61"/>
        <v>1+0,0387741742654993i</v>
      </c>
      <c r="BA23">
        <f t="shared" si="88"/>
        <v>1.00075143596698</v>
      </c>
      <c r="BB23">
        <f t="shared" si="89"/>
        <v>0.0387547602710061</v>
      </c>
      <c r="BC23" s="30" t="str">
        <f t="shared" si="90"/>
        <v>-0,653114353436473+17,2044470558188i</v>
      </c>
      <c r="BD23" s="32">
        <f t="shared" si="91"/>
        <v>24.7190685367327</v>
      </c>
      <c r="BE23" s="31">
        <f t="shared" si="92"/>
        <v>92.1740155683</v>
      </c>
      <c r="BF23" s="30" t="str">
        <f t="shared" si="93"/>
        <v>92,4926152581354+1643,93599874166i</v>
      </c>
      <c r="BG23" s="68">
        <f t="shared" si="94"/>
        <v>64.3314240554434</v>
      </c>
      <c r="BH23" s="31">
        <f t="shared" si="95"/>
        <v>86.7797680221474</v>
      </c>
      <c r="BI23" s="30" t="str">
        <f t="shared" si="96"/>
        <v>-64,2716616647797+4077,31862075086i</v>
      </c>
      <c r="BJ23" s="68">
        <f t="shared" si="97"/>
        <v>72.2085720083122</v>
      </c>
      <c r="BK23" s="31">
        <f t="shared" si="98"/>
        <v>90.9030910596021</v>
      </c>
      <c r="BL23" s="32">
        <f t="shared" si="99"/>
        <v>64.3314240554434</v>
      </c>
      <c r="BM23" s="31">
        <f t="shared" si="100"/>
        <v>86.7797680221474</v>
      </c>
      <c r="BO23">
        <f t="shared" si="101"/>
        <v>0</v>
      </c>
      <c r="BP23">
        <f t="shared" si="102"/>
        <v>0</v>
      </c>
    </row>
    <row r="24" spans="1:68">
      <c r="N24" s="7">
        <v>6</v>
      </c>
      <c r="O24" s="18">
        <f t="shared" si="62"/>
        <v>11.4815362149688</v>
      </c>
      <c r="P24" s="86" t="str">
        <f t="shared" si="50"/>
        <v>96,0576923076923</v>
      </c>
      <c r="Q24" s="4" t="str">
        <f t="shared" si="51"/>
        <v>1+0,0962966286755368i</v>
      </c>
      <c r="R24" s="4">
        <f t="shared" si="63"/>
        <v>1.00462582123608</v>
      </c>
      <c r="S24" s="4">
        <f t="shared" si="64"/>
        <v>0.0960006196948884</v>
      </c>
      <c r="T24" s="4" t="str">
        <f t="shared" si="52"/>
        <v>1+0,00113116491610796i</v>
      </c>
      <c r="U24" s="4">
        <f t="shared" si="65"/>
        <v>1.00000063976683</v>
      </c>
      <c r="V24" s="4">
        <f t="shared" si="66"/>
        <v>0.00113116443365365</v>
      </c>
      <c r="W24" t="str">
        <f t="shared" si="53"/>
        <v>1-0,000537046835170305i</v>
      </c>
      <c r="X24" s="4">
        <f t="shared" si="67"/>
        <v>1.00000014420964</v>
      </c>
      <c r="Y24" s="4">
        <f t="shared" si="68"/>
        <v>-0.000537046783538756</v>
      </c>
      <c r="Z24" t="str">
        <f t="shared" si="54"/>
        <v>0,999999998923872+0,000920600444784025i</v>
      </c>
      <c r="AA24" s="4">
        <f t="shared" si="69"/>
        <v>1.00000042267637</v>
      </c>
      <c r="AB24" s="4">
        <f t="shared" si="70"/>
        <v>0.000920600185703625</v>
      </c>
      <c r="AC24" s="67" t="str">
        <f t="shared" si="71"/>
        <v>95,1721665456475-9,19611995181364i</v>
      </c>
      <c r="AD24" s="68">
        <f t="shared" si="72"/>
        <v>39.6105593897131</v>
      </c>
      <c r="AE24" s="31">
        <f t="shared" si="73"/>
        <v>-5.51913641053156</v>
      </c>
      <c r="AF24" s="32" t="str">
        <f t="shared" si="74"/>
        <v>236,914774604583</v>
      </c>
      <c r="AG24" s="32" t="str">
        <f t="shared" si="55"/>
        <v>1+0,023780171531815i</v>
      </c>
      <c r="AH24" s="32">
        <f t="shared" si="75"/>
        <v>1.00028270831705</v>
      </c>
      <c r="AI24" s="32">
        <f t="shared" si="76"/>
        <v>0.0237756905170652</v>
      </c>
      <c r="AJ24" s="32" t="str">
        <f t="shared" si="56"/>
        <v>1+0,00113116491610796i</v>
      </c>
      <c r="AK24" s="32">
        <f t="shared" si="77"/>
        <v>1.00000063976683</v>
      </c>
      <c r="AL24" s="32">
        <f t="shared" si="78"/>
        <v>0.00113116443365365</v>
      </c>
      <c r="AM24" s="32" t="str">
        <f t="shared" si="57"/>
        <v>1-0,0000537704431585938i</v>
      </c>
      <c r="AN24" s="32">
        <f t="shared" si="79"/>
        <v>1.00000000144563</v>
      </c>
      <c r="AO24" s="32">
        <f t="shared" si="80"/>
        <v>-5.37704431067723e-5</v>
      </c>
      <c r="AP24" s="30" t="str">
        <f t="shared" si="81"/>
        <v>236,786956710174-5,37558377834537i</v>
      </c>
      <c r="AQ24" s="32">
        <f t="shared" si="82"/>
        <v>47.4893932486908</v>
      </c>
      <c r="AR24" s="31">
        <f t="shared" si="83"/>
        <v>-1.30051659310596</v>
      </c>
      <c r="AS24" t="str">
        <f t="shared" si="58"/>
        <v>-0,000272527472527473</v>
      </c>
      <c r="AT24" t="str">
        <f t="shared" si="59"/>
        <v>0,0000162099972352971i</v>
      </c>
      <c r="AU24">
        <f t="shared" si="84"/>
        <v>1.62099972352971e-5</v>
      </c>
      <c r="AV24">
        <f t="shared" si="85"/>
        <v>1.5707963267949</v>
      </c>
      <c r="AW24" t="str">
        <f t="shared" si="60"/>
        <v>1+0,00082992212636664i</v>
      </c>
      <c r="AX24">
        <f t="shared" si="86"/>
        <v>1.00000034438531</v>
      </c>
      <c r="AY24">
        <f t="shared" si="87"/>
        <v>0.000829921935824694</v>
      </c>
      <c r="AZ24" t="str">
        <f t="shared" si="61"/>
        <v>1+0,0396773408073582i</v>
      </c>
      <c r="BA24">
        <f t="shared" si="88"/>
        <v>1.00078683613122</v>
      </c>
      <c r="BB24">
        <f t="shared" si="89"/>
        <v>0.0396565392206949</v>
      </c>
      <c r="BC24" s="30" t="str">
        <f t="shared" si="90"/>
        <v>-0,65311433319008+16,812850424444i</v>
      </c>
      <c r="BD24" s="32">
        <f t="shared" si="91"/>
        <v>24.5193756477086</v>
      </c>
      <c r="BE24" s="31">
        <f t="shared" si="92"/>
        <v>92.2246013031928</v>
      </c>
      <c r="BF24" s="30" t="str">
        <f t="shared" si="93"/>
        <v>92,4546831433721+1606,12151845251i</v>
      </c>
      <c r="BG24" s="68">
        <f t="shared" si="94"/>
        <v>64.1299350374217</v>
      </c>
      <c r="BH24" s="31">
        <f t="shared" si="95"/>
        <v>86.7054648926612</v>
      </c>
      <c r="BI24" s="30" t="str">
        <f t="shared" si="96"/>
        <v>-64,2700693304854+3984,57455644235i</v>
      </c>
      <c r="BJ24" s="68">
        <f t="shared" si="97"/>
        <v>72.0087688963995</v>
      </c>
      <c r="BK24" s="31">
        <f t="shared" si="98"/>
        <v>90.9240847100868</v>
      </c>
      <c r="BL24" s="32">
        <f t="shared" si="99"/>
        <v>64.1299350374217</v>
      </c>
      <c r="BM24" s="31">
        <f t="shared" si="100"/>
        <v>86.7054648926612</v>
      </c>
      <c r="BO24">
        <f t="shared" si="101"/>
        <v>0</v>
      </c>
      <c r="BP24">
        <f t="shared" si="102"/>
        <v>0</v>
      </c>
    </row>
    <row r="25" spans="1:68">
      <c r="A25" t="s">
        <v>239</v>
      </c>
      <c r="B25" s="85">
        <f>R_cs</f>
        <v>0.01</v>
      </c>
      <c r="C25" s="16" t="s">
        <v>35</v>
      </c>
      <c r="E25" t="s">
        <v>480</v>
      </c>
      <c r="N25" s="7">
        <v>7</v>
      </c>
      <c r="O25" s="18">
        <f t="shared" si="62"/>
        <v>11.7489755493953</v>
      </c>
      <c r="P25" s="86" t="str">
        <f t="shared" si="50"/>
        <v>96,0576923076923</v>
      </c>
      <c r="Q25" s="4" t="str">
        <f t="shared" si="51"/>
        <v>1+0,098539665303939i</v>
      </c>
      <c r="R25" s="4">
        <f t="shared" si="63"/>
        <v>1.00484330402218</v>
      </c>
      <c r="S25" s="4">
        <f t="shared" si="64"/>
        <v>0.0982225684765123</v>
      </c>
      <c r="T25" s="4" t="str">
        <f t="shared" si="52"/>
        <v>1+0,00115751313176713i</v>
      </c>
      <c r="U25" s="4">
        <f t="shared" si="65"/>
        <v>1.0000006699181</v>
      </c>
      <c r="V25" s="4">
        <f t="shared" si="66"/>
        <v>0.00115751261480804</v>
      </c>
      <c r="W25" t="str">
        <f t="shared" si="53"/>
        <v>1-0,000549556262956332i</v>
      </c>
      <c r="X25" s="4">
        <f t="shared" si="67"/>
        <v>1.00000015100603</v>
      </c>
      <c r="Y25" s="4">
        <f t="shared" si="68"/>
        <v>-0.000549556207632131</v>
      </c>
      <c r="Z25" t="str">
        <f t="shared" si="54"/>
        <v>0,999999998873156+0,000942043983838041i</v>
      </c>
      <c r="AA25" s="4">
        <f t="shared" si="69"/>
        <v>1.00000044259649</v>
      </c>
      <c r="AB25" s="4">
        <f t="shared" si="70"/>
        <v>0.000942043706228398</v>
      </c>
      <c r="AC25" s="67" t="str">
        <f t="shared" si="71"/>
        <v>95,1308343405146-9,40625224251924i</v>
      </c>
      <c r="AD25" s="68">
        <f t="shared" si="72"/>
        <v>39.6086794077195</v>
      </c>
      <c r="AE25" s="31">
        <f t="shared" si="73"/>
        <v>-5.64688041886351</v>
      </c>
      <c r="AF25" s="32" t="str">
        <f t="shared" si="74"/>
        <v>236,914774604583</v>
      </c>
      <c r="AG25" s="32" t="str">
        <f t="shared" si="55"/>
        <v>1+0,0243340828837407i</v>
      </c>
      <c r="AH25" s="32">
        <f t="shared" si="75"/>
        <v>1.00029602997802</v>
      </c>
      <c r="AI25" s="32">
        <f t="shared" si="76"/>
        <v>0.0243292814666707</v>
      </c>
      <c r="AJ25" s="32" t="str">
        <f t="shared" si="56"/>
        <v>1+0,00115751313176713i</v>
      </c>
      <c r="AK25" s="32">
        <f t="shared" si="77"/>
        <v>1.0000006699181</v>
      </c>
      <c r="AL25" s="32">
        <f t="shared" si="78"/>
        <v>0.00115751261480804</v>
      </c>
      <c r="AM25" s="32" t="str">
        <f t="shared" si="57"/>
        <v>1-0,0000550229176760198i</v>
      </c>
      <c r="AN25" s="32">
        <f t="shared" si="79"/>
        <v>1.00000000151376</v>
      </c>
      <c r="AO25" s="32">
        <f t="shared" si="80"/>
        <v>-5.50229176204921e-5</v>
      </c>
      <c r="AP25" s="30" t="str">
        <f t="shared" si="81"/>
        <v>236,780936403306-5,50065071115264i</v>
      </c>
      <c r="AQ25" s="32">
        <f t="shared" si="82"/>
        <v>47.4892778341694</v>
      </c>
      <c r="AR25" s="31">
        <f t="shared" si="83"/>
        <v>-1.33079714002058</v>
      </c>
      <c r="AS25" t="str">
        <f t="shared" si="58"/>
        <v>-0,000272527472527473</v>
      </c>
      <c r="AT25" t="str">
        <f t="shared" si="59"/>
        <v>0,00001658757657577i</v>
      </c>
      <c r="AU25">
        <f t="shared" si="84"/>
        <v>1.658757657577e-5</v>
      </c>
      <c r="AV25">
        <f t="shared" si="85"/>
        <v>1.5707963267949</v>
      </c>
      <c r="AW25" t="str">
        <f t="shared" si="60"/>
        <v>1+0,000849253496049727i</v>
      </c>
      <c r="AX25">
        <f t="shared" si="86"/>
        <v>1.00000036061569</v>
      </c>
      <c r="AY25">
        <f t="shared" si="87"/>
        <v>0.000849253291880358</v>
      </c>
      <c r="AZ25" t="str">
        <f t="shared" si="61"/>
        <v>1+0,040601544800505i</v>
      </c>
      <c r="BA25">
        <f t="shared" si="88"/>
        <v>1.00082390331176</v>
      </c>
      <c r="BB25">
        <f t="shared" si="89"/>
        <v>0.0405792564897111</v>
      </c>
      <c r="BC25" s="30" t="str">
        <f t="shared" si="90"/>
        <v>-0,653114311989503+16,4301681889069i</v>
      </c>
      <c r="BD25" s="32">
        <f t="shared" si="91"/>
        <v>24.3196972090834</v>
      </c>
      <c r="BE25" s="31">
        <f t="shared" si="92"/>
        <v>92.276361503277</v>
      </c>
      <c r="BF25" s="30" t="str">
        <f t="shared" si="93"/>
        <v>92,4149969525812+1569,15896612747i</v>
      </c>
      <c r="BG25" s="68">
        <f t="shared" si="94"/>
        <v>63.9283766168029</v>
      </c>
      <c r="BH25" s="31">
        <f t="shared" si="95"/>
        <v>86.6294810844135</v>
      </c>
      <c r="BI25" s="30" t="str">
        <f t="shared" si="96"/>
        <v>-64,2684020386072+3893,9431627379i</v>
      </c>
      <c r="BJ25" s="68">
        <f t="shared" si="97"/>
        <v>71.8089750432528</v>
      </c>
      <c r="BK25" s="31">
        <f t="shared" si="98"/>
        <v>90.9455643632564</v>
      </c>
      <c r="BL25" s="32">
        <f t="shared" si="99"/>
        <v>63.9283766168029</v>
      </c>
      <c r="BM25" s="31">
        <f t="shared" si="100"/>
        <v>86.6294810844135</v>
      </c>
      <c r="BO25">
        <f t="shared" si="101"/>
        <v>0</v>
      </c>
      <c r="BP25">
        <f t="shared" si="102"/>
        <v>0</v>
      </c>
    </row>
    <row r="26" customFormat="1" spans="1:68">
      <c r="A26" t="s">
        <v>241</v>
      </c>
      <c r="B26" s="85">
        <f>R_sl</f>
        <v>0</v>
      </c>
      <c r="C26" s="16" t="s">
        <v>35</v>
      </c>
      <c r="D26"/>
      <c r="E26" t="s">
        <v>481</v>
      </c>
      <c r="F26"/>
      <c r="G26"/>
      <c r="N26" s="7">
        <v>8</v>
      </c>
      <c r="O26" s="18">
        <f t="shared" si="62"/>
        <v>12.0226443461741</v>
      </c>
      <c r="P26" s="86" t="str">
        <f t="shared" si="50"/>
        <v>96,0576923076923</v>
      </c>
      <c r="Q26" s="4" t="str">
        <f t="shared" si="51"/>
        <v>1+0,100834948967211i</v>
      </c>
      <c r="R26" s="4">
        <f t="shared" si="63"/>
        <v>1.00507098601702</v>
      </c>
      <c r="S26" s="4">
        <f t="shared" si="64"/>
        <v>0.100495266113955</v>
      </c>
      <c r="T26" s="4" t="str">
        <f t="shared" si="52"/>
        <v>1+0,00118447507621024i</v>
      </c>
      <c r="U26" s="4">
        <f t="shared" si="65"/>
        <v>1.00000070149036</v>
      </c>
      <c r="V26" s="4">
        <f t="shared" si="66"/>
        <v>0.00118447452227862</v>
      </c>
      <c r="W26" t="str">
        <f t="shared" si="53"/>
        <v>1-0,000562357072747211i</v>
      </c>
      <c r="X26" s="4">
        <f t="shared" si="67"/>
        <v>1.00000015812273</v>
      </c>
      <c r="Y26" s="4">
        <f t="shared" si="68"/>
        <v>-0.000562357013466262</v>
      </c>
      <c r="Z26" t="str">
        <f t="shared" si="54"/>
        <v>0,999999998820049+0,000963987007081708i</v>
      </c>
      <c r="AA26" s="4">
        <f t="shared" si="69"/>
        <v>1.00000046345542</v>
      </c>
      <c r="AB26" s="4">
        <f t="shared" si="70"/>
        <v>0.000963986709617624</v>
      </c>
      <c r="AC26" s="67" t="str">
        <f t="shared" si="71"/>
        <v>95,0875925392266-9,62099171997806i</v>
      </c>
      <c r="AD26" s="68">
        <f t="shared" si="72"/>
        <v>39.6067116968964</v>
      </c>
      <c r="AE26" s="31">
        <f t="shared" si="73"/>
        <v>-5.77754227172534</v>
      </c>
      <c r="AF26" s="32" t="str">
        <f t="shared" si="74"/>
        <v>236,914774604583</v>
      </c>
      <c r="AG26" s="32" t="str">
        <f t="shared" si="55"/>
        <v>1+0,0249008964885108i</v>
      </c>
      <c r="AH26" s="32">
        <f t="shared" si="75"/>
        <v>1.00030997927939</v>
      </c>
      <c r="AI26" s="32">
        <f t="shared" si="76"/>
        <v>0.0248957517635297</v>
      </c>
      <c r="AJ26" s="32" t="str">
        <f t="shared" si="56"/>
        <v>1+0,00118447507621024i</v>
      </c>
      <c r="AK26" s="32">
        <f t="shared" si="77"/>
        <v>1.00000070149036</v>
      </c>
      <c r="AL26" s="32">
        <f t="shared" si="78"/>
        <v>0.00118447452227862</v>
      </c>
      <c r="AM26" s="32" t="str">
        <f t="shared" si="57"/>
        <v>1-0,0000563045660727117i</v>
      </c>
      <c r="AN26" s="32">
        <f t="shared" si="79"/>
        <v>1.0000000015851</v>
      </c>
      <c r="AO26" s="32">
        <f t="shared" si="80"/>
        <v>-5.63045660132127e-5</v>
      </c>
      <c r="AP26" s="30" t="str">
        <f t="shared" si="81"/>
        <v>236,774632711839-5,62862035813789i</v>
      </c>
      <c r="AQ26" s="32">
        <f t="shared" si="82"/>
        <v>47.4891569836313</v>
      </c>
      <c r="AR26" s="31">
        <f t="shared" si="83"/>
        <v>-1.36178212678816</v>
      </c>
      <c r="AS26" t="str">
        <f t="shared" si="58"/>
        <v>-0,000272527472527473</v>
      </c>
      <c r="AT26" t="str">
        <f t="shared" si="59"/>
        <v>0,0000169739508689057i</v>
      </c>
      <c r="AU26">
        <f t="shared" si="84"/>
        <v>1.69739508689057e-5</v>
      </c>
      <c r="AV26">
        <f t="shared" si="85"/>
        <v>1.5707963267949</v>
      </c>
      <c r="AW26" t="str">
        <f t="shared" si="60"/>
        <v>1+0,000869035151177614i</v>
      </c>
      <c r="AX26">
        <f t="shared" si="86"/>
        <v>1.00000037761098</v>
      </c>
      <c r="AY26">
        <f t="shared" si="87"/>
        <v>0.000869034932406198</v>
      </c>
      <c r="AZ26" t="str">
        <f t="shared" si="61"/>
        <v>1+0,0415472762701297i</v>
      </c>
      <c r="BA26">
        <f t="shared" si="88"/>
        <v>1.00086271594333</v>
      </c>
      <c r="BB26">
        <f t="shared" si="89"/>
        <v>0.0415233950265155</v>
      </c>
      <c r="BC26" s="30" t="str">
        <f t="shared" si="90"/>
        <v>-0,65311428978978+16,056197446021i</v>
      </c>
      <c r="BD26" s="32">
        <f t="shared" si="91"/>
        <v>24.1200338996399</v>
      </c>
      <c r="BE26" s="31">
        <f t="shared" si="92"/>
        <v>92.3293232521975</v>
      </c>
      <c r="BF26" s="30" t="str">
        <f t="shared" si="93"/>
        <v>92,3734772134239+1533,02876765088i</v>
      </c>
      <c r="BG26" s="68">
        <f t="shared" si="94"/>
        <v>63.7267455965363</v>
      </c>
      <c r="BH26" s="31">
        <f t="shared" si="95"/>
        <v>86.5517809804722</v>
      </c>
      <c r="BI26" s="30" t="str">
        <f t="shared" si="96"/>
        <v>-64,2666562648734+3805,37638541809i</v>
      </c>
      <c r="BJ26" s="68">
        <f t="shared" si="97"/>
        <v>71.6091908832712</v>
      </c>
      <c r="BK26" s="31">
        <f t="shared" si="98"/>
        <v>90.9675411254094</v>
      </c>
      <c r="BL26" s="32">
        <f t="shared" si="99"/>
        <v>63.7267455965363</v>
      </c>
      <c r="BM26" s="31">
        <f t="shared" si="100"/>
        <v>86.5517809804722</v>
      </c>
      <c r="BO26">
        <f t="shared" si="101"/>
        <v>0</v>
      </c>
      <c r="BP26">
        <f t="shared" si="102"/>
        <v>0</v>
      </c>
    </row>
    <row r="27" customFormat="1" spans="1:68">
      <c r="A27" t="s">
        <v>482</v>
      </c>
      <c r="B27" s="10">
        <f>Rsl_int</f>
        <v>2000</v>
      </c>
      <c r="C27" s="16" t="s">
        <v>35</v>
      </c>
      <c r="D27"/>
      <c r="E27" t="s">
        <v>483</v>
      </c>
      <c r="F27"/>
      <c r="G27"/>
      <c r="N27" s="7">
        <v>9</v>
      </c>
      <c r="O27" s="18">
        <f t="shared" si="62"/>
        <v>12.3026877081238</v>
      </c>
      <c r="P27" s="86" t="str">
        <f t="shared" si="50"/>
        <v>96,0576923076923</v>
      </c>
      <c r="Q27" s="4" t="str">
        <f t="shared" si="51"/>
        <v>1+0,103183696655135i</v>
      </c>
      <c r="R27" s="4">
        <f t="shared" si="63"/>
        <v>1.00530934306581</v>
      </c>
      <c r="S27" s="4">
        <f t="shared" si="64"/>
        <v>0.102819823659389</v>
      </c>
      <c r="T27" s="4" t="str">
        <f t="shared" si="52"/>
        <v>1+0,00121206504501716i</v>
      </c>
      <c r="U27" s="4">
        <f t="shared" si="65"/>
        <v>1.00000073455057</v>
      </c>
      <c r="V27" s="4">
        <f t="shared" si="66"/>
        <v>0.00121206445146875</v>
      </c>
      <c r="W27" t="str">
        <f t="shared" si="53"/>
        <v>1-0,000575456051701741i</v>
      </c>
      <c r="X27" s="4">
        <f t="shared" si="67"/>
        <v>1.00000016557482</v>
      </c>
      <c r="Y27" s="4">
        <f t="shared" si="68"/>
        <v>-0.00057545598818106</v>
      </c>
      <c r="Z27" t="str">
        <f t="shared" si="54"/>
        <v>0,99999999876444+0,000986441148996411i</v>
      </c>
      <c r="AA27" s="4">
        <f t="shared" si="69"/>
        <v>1.00000048529739</v>
      </c>
      <c r="AB27" s="4">
        <f t="shared" si="70"/>
        <v>0.00098644083025791</v>
      </c>
      <c r="AC27" s="67" t="str">
        <f t="shared" si="71"/>
        <v>95,04235478623-9,84042560877228i</v>
      </c>
      <c r="AD27" s="68">
        <f t="shared" si="72"/>
        <v>39.6046522059732</v>
      </c>
      <c r="AE27" s="31">
        <f t="shared" si="73"/>
        <v>-5.91118586412682</v>
      </c>
      <c r="AF27" s="32" t="str">
        <f t="shared" si="74"/>
        <v>236,914774604583</v>
      </c>
      <c r="AG27" s="32" t="str">
        <f t="shared" si="55"/>
        <v>1+0,0254809128782016i</v>
      </c>
      <c r="AH27" s="32">
        <f t="shared" si="75"/>
        <v>1.00032458578259</v>
      </c>
      <c r="AI27" s="32">
        <f t="shared" si="76"/>
        <v>0.0254754003026683</v>
      </c>
      <c r="AJ27" s="32" t="str">
        <f t="shared" si="56"/>
        <v>1+0,00121206504501716i</v>
      </c>
      <c r="AK27" s="32">
        <f t="shared" si="77"/>
        <v>1.00000073455057</v>
      </c>
      <c r="AL27" s="32">
        <f t="shared" si="78"/>
        <v>0.00121206445146875</v>
      </c>
      <c r="AM27" s="32" t="str">
        <f t="shared" si="57"/>
        <v>1-0,0000576160678956147i</v>
      </c>
      <c r="AN27" s="32">
        <f t="shared" si="79"/>
        <v>1.00000000165981</v>
      </c>
      <c r="AO27" s="32">
        <f t="shared" si="80"/>
        <v>-5.76160678318604e-5</v>
      </c>
      <c r="AP27" s="30" t="str">
        <f t="shared" si="81"/>
        <v>236,768032313399-5,7595595845137i</v>
      </c>
      <c r="AQ27" s="32">
        <f t="shared" si="82"/>
        <v>47.4890304412035</v>
      </c>
      <c r="AR27" s="31">
        <f t="shared" si="83"/>
        <v>-1.3934878987011</v>
      </c>
      <c r="AS27" t="str">
        <f t="shared" si="58"/>
        <v>-0,000272527472527473</v>
      </c>
      <c r="AT27" t="str">
        <f t="shared" si="59"/>
        <v>0,0000173693249754691i</v>
      </c>
      <c r="AU27">
        <f t="shared" si="84"/>
        <v>1.73693249754691e-5</v>
      </c>
      <c r="AV27">
        <f t="shared" si="85"/>
        <v>1.5707963267949</v>
      </c>
      <c r="AW27" t="str">
        <f t="shared" si="60"/>
        <v>1+0,0008892775802457i</v>
      </c>
      <c r="AX27">
        <f t="shared" si="86"/>
        <v>1.00000039540723</v>
      </c>
      <c r="AY27">
        <f t="shared" si="87"/>
        <v>0.000889277345827909</v>
      </c>
      <c r="AZ27" t="str">
        <f t="shared" si="61"/>
        <v>1+0,0425150366555763i</v>
      </c>
      <c r="BA27">
        <f t="shared" si="88"/>
        <v>1.00090335614475</v>
      </c>
      <c r="BB27">
        <f t="shared" si="89"/>
        <v>0.0424894486891975</v>
      </c>
      <c r="BC27" s="30" t="str">
        <f t="shared" si="90"/>
        <v>-0,653114266543814+15,690739911548i</v>
      </c>
      <c r="BD27" s="32">
        <f t="shared" si="91"/>
        <v>23.9203864299346</v>
      </c>
      <c r="BE27" s="31">
        <f t="shared" si="92"/>
        <v>92.3835142449961</v>
      </c>
      <c r="BF27" s="30" t="str">
        <f t="shared" si="93"/>
        <v>92,3300410093767+1497,71179188576i</v>
      </c>
      <c r="BG27" s="68">
        <f t="shared" si="94"/>
        <v>63.5250386359078</v>
      </c>
      <c r="BH27" s="31">
        <f t="shared" si="95"/>
        <v>86.4723283808693</v>
      </c>
      <c r="BI27" s="30" t="str">
        <f t="shared" si="96"/>
        <v>-64,2648283197197+3718,82726493219i</v>
      </c>
      <c r="BJ27" s="68">
        <f t="shared" si="97"/>
        <v>71.4094168711381</v>
      </c>
      <c r="BK27" s="31">
        <f t="shared" si="98"/>
        <v>90.9900263462951</v>
      </c>
      <c r="BL27" s="32">
        <f t="shared" si="99"/>
        <v>63.5250386359078</v>
      </c>
      <c r="BM27" s="31">
        <f t="shared" si="100"/>
        <v>86.4723283808693</v>
      </c>
      <c r="BO27">
        <f t="shared" si="101"/>
        <v>0</v>
      </c>
      <c r="BP27">
        <f t="shared" si="102"/>
        <v>0</v>
      </c>
    </row>
    <row r="28" spans="1:68">
      <c r="A28" t="s">
        <v>484</v>
      </c>
      <c r="B28" s="10">
        <f>Isl</f>
        <v>4.3e-5</v>
      </c>
      <c r="C28" s="16" t="s">
        <v>12</v>
      </c>
      <c r="E28" t="s">
        <v>485</v>
      </c>
      <c r="N28" s="7">
        <v>10</v>
      </c>
      <c r="O28" s="18">
        <f t="shared" si="62"/>
        <v>12.5892541179417</v>
      </c>
      <c r="P28" s="86" t="str">
        <f t="shared" si="50"/>
        <v>96,0576923076923</v>
      </c>
      <c r="Q28" s="4" t="str">
        <f t="shared" si="51"/>
        <v>1+0,105587153704823i</v>
      </c>
      <c r="R28" s="4">
        <f t="shared" si="63"/>
        <v>1.00555887297934</v>
      </c>
      <c r="S28" s="4">
        <f t="shared" si="64"/>
        <v>0.105197373081744</v>
      </c>
      <c r="T28" s="4" t="str">
        <f t="shared" si="52"/>
        <v>1+0,00124029766675452i</v>
      </c>
      <c r="U28" s="4">
        <f t="shared" si="65"/>
        <v>1.00000076916886</v>
      </c>
      <c r="V28" s="4">
        <f t="shared" si="66"/>
        <v>0.00124029703075597</v>
      </c>
      <c r="W28" t="str">
        <f t="shared" si="53"/>
        <v>1-0,000588860145071945i</v>
      </c>
      <c r="X28" s="4">
        <f t="shared" si="67"/>
        <v>1.00000017337812</v>
      </c>
      <c r="Y28" s="4">
        <f t="shared" si="68"/>
        <v>-0.00058886007700831</v>
      </c>
      <c r="Z28" t="str">
        <f t="shared" si="54"/>
        <v>0,99999999870621+0,00100941831506541i</v>
      </c>
      <c r="AA28" s="4">
        <f t="shared" si="69"/>
        <v>1.00000050816875</v>
      </c>
      <c r="AB28" s="4">
        <f t="shared" si="70"/>
        <v>0.00100941797353096</v>
      </c>
      <c r="AC28" s="67" t="str">
        <f t="shared" si="71"/>
        <v>94,9950309990882-10,0646417841479i</v>
      </c>
      <c r="AD28" s="68">
        <f t="shared" si="72"/>
        <v>39.6024967006543</v>
      </c>
      <c r="AE28" s="31">
        <f t="shared" si="73"/>
        <v>-6.04787629502643</v>
      </c>
      <c r="AF28" s="32" t="str">
        <f t="shared" si="74"/>
        <v>236,914774604583</v>
      </c>
      <c r="AG28" s="32" t="str">
        <f t="shared" si="55"/>
        <v>1+0,0260744395851802i</v>
      </c>
      <c r="AH28" s="32">
        <f t="shared" si="75"/>
        <v>1.00033988044048</v>
      </c>
      <c r="AI28" s="32">
        <f t="shared" si="76"/>
        <v>0.0260685328624616</v>
      </c>
      <c r="AJ28" s="32" t="str">
        <f t="shared" si="56"/>
        <v>1+0,00124029766675452i</v>
      </c>
      <c r="AK28" s="32">
        <f t="shared" si="77"/>
        <v>1.00000076916886</v>
      </c>
      <c r="AL28" s="32">
        <f t="shared" si="78"/>
        <v>0.00124029703075597</v>
      </c>
      <c r="AM28" s="32" t="str">
        <f t="shared" si="57"/>
        <v>1-0,0000589581185203548i</v>
      </c>
      <c r="AN28" s="32">
        <f t="shared" si="79"/>
        <v>1.00000000173803</v>
      </c>
      <c r="AO28" s="32">
        <f t="shared" si="80"/>
        <v>-5.89581184520408e-5</v>
      </c>
      <c r="AP28" s="30" t="str">
        <f t="shared" si="81"/>
        <v>236,76112126094-5,89353675963652i</v>
      </c>
      <c r="AQ28" s="32">
        <f t="shared" si="82"/>
        <v>47.4888979389846</v>
      </c>
      <c r="AR28" s="31">
        <f t="shared" si="83"/>
        <v>-1.42593117726755</v>
      </c>
      <c r="AS28" t="str">
        <f t="shared" si="58"/>
        <v>-0,000272527472527473</v>
      </c>
      <c r="AT28" t="str">
        <f t="shared" si="59"/>
        <v>0,0000177739085280447i</v>
      </c>
      <c r="AU28">
        <f t="shared" si="84"/>
        <v>1.77739085280447e-5</v>
      </c>
      <c r="AV28">
        <f t="shared" si="85"/>
        <v>1.5707963267949</v>
      </c>
      <c r="AW28" t="str">
        <f t="shared" si="60"/>
        <v>1+0,000909991516057814i</v>
      </c>
      <c r="AX28">
        <f t="shared" si="86"/>
        <v>1.00000041404219</v>
      </c>
      <c r="AY28">
        <f t="shared" si="87"/>
        <v>0.000909991264874631</v>
      </c>
      <c r="AZ28" t="str">
        <f t="shared" si="61"/>
        <v>1+0,0435053390762107i</v>
      </c>
      <c r="BA28">
        <f t="shared" si="88"/>
        <v>1.00094590989131</v>
      </c>
      <c r="BB28">
        <f t="shared" si="89"/>
        <v>0.0434779224754545</v>
      </c>
      <c r="BC28" s="30" t="str">
        <f t="shared" si="90"/>
        <v>-0,6531142422023+15,3336018150656i</v>
      </c>
      <c r="BD28" s="32">
        <f t="shared" si="91"/>
        <v>23.7207555437752</v>
      </c>
      <c r="BE28" s="31">
        <f t="shared" si="92"/>
        <v>92.4389628009694</v>
      </c>
      <c r="BF28" s="30" t="str">
        <f t="shared" si="93"/>
        <v>92,2846018454418+1463,18934064172i</v>
      </c>
      <c r="BG28" s="68">
        <f t="shared" si="94"/>
        <v>63.3232522444295</v>
      </c>
      <c r="BH28" s="31">
        <f t="shared" si="95"/>
        <v>86.391086505943</v>
      </c>
      <c r="BI28" s="30" t="str">
        <f t="shared" si="96"/>
        <v>-64,2629143405873+3634,24991149838i</v>
      </c>
      <c r="BJ28" s="68">
        <f t="shared" si="97"/>
        <v>71.2096534827599</v>
      </c>
      <c r="BK28" s="31">
        <f t="shared" si="98"/>
        <v>91.0130316237019</v>
      </c>
      <c r="BL28" s="32">
        <f t="shared" si="99"/>
        <v>63.3232522444295</v>
      </c>
      <c r="BM28" s="31">
        <f t="shared" si="100"/>
        <v>86.391086505943</v>
      </c>
      <c r="BO28">
        <f t="shared" si="101"/>
        <v>0</v>
      </c>
      <c r="BP28">
        <f t="shared" si="102"/>
        <v>0</v>
      </c>
    </row>
    <row r="29" spans="1:68">
      <c r="B29" s="13"/>
      <c r="C29" s="16"/>
      <c r="N29" s="7">
        <v>11</v>
      </c>
      <c r="O29" s="18">
        <f t="shared" si="62"/>
        <v>12.8824955169313</v>
      </c>
      <c r="P29" s="86" t="str">
        <f t="shared" si="50"/>
        <v>96,0576923076923</v>
      </c>
      <c r="Q29" s="4" t="str">
        <f t="shared" si="51"/>
        <v>1+0,108046594461016i</v>
      </c>
      <c r="R29" s="4">
        <f t="shared" si="63"/>
        <v>1.00582009652553</v>
      </c>
      <c r="S29" s="4">
        <f t="shared" si="64"/>
        <v>0.107629067413094</v>
      </c>
      <c r="T29" s="4" t="str">
        <f t="shared" si="52"/>
        <v>1+0,00126918791073206i</v>
      </c>
      <c r="U29" s="4">
        <f t="shared" si="65"/>
        <v>1.00000080541865</v>
      </c>
      <c r="V29" s="4">
        <f t="shared" si="66"/>
        <v>0.00126918722924737</v>
      </c>
      <c r="W29" t="str">
        <f t="shared" si="53"/>
        <v>1-0,000602576459885546i</v>
      </c>
      <c r="X29" s="4">
        <f t="shared" si="67"/>
        <v>1.00000018154918</v>
      </c>
      <c r="Y29" s="4">
        <f t="shared" si="68"/>
        <v>-0.000602576386954048</v>
      </c>
      <c r="Z29" t="str">
        <f t="shared" si="54"/>
        <v>0,999999998645235+0,00103293068808627i</v>
      </c>
      <c r="AA29" s="4">
        <f t="shared" si="69"/>
        <v>1.000000532118</v>
      </c>
      <c r="AB29" s="4">
        <f t="shared" si="70"/>
        <v>0.00103293032212553</v>
      </c>
      <c r="AC29" s="67" t="str">
        <f t="shared" si="71"/>
        <v>94,9455272247126-10,2937286950341i</v>
      </c>
      <c r="AD29" s="68">
        <f t="shared" si="72"/>
        <v>39.6002407557383</v>
      </c>
      <c r="AE29" s="31">
        <f t="shared" si="73"/>
        <v>-6.18767987584715</v>
      </c>
      <c r="AF29" s="32" t="str">
        <f t="shared" si="74"/>
        <v>236,914774604583</v>
      </c>
      <c r="AG29" s="32" t="str">
        <f t="shared" si="55"/>
        <v>1+0,0266817913051626i</v>
      </c>
      <c r="AH29" s="32">
        <f t="shared" si="75"/>
        <v>1.00035589566276</v>
      </c>
      <c r="AI29" s="32">
        <f t="shared" si="76"/>
        <v>0.0266754622593456</v>
      </c>
      <c r="AJ29" s="32" t="str">
        <f t="shared" si="56"/>
        <v>1+0,00126918791073206i</v>
      </c>
      <c r="AK29" s="32">
        <f t="shared" si="77"/>
        <v>1.00000080541865</v>
      </c>
      <c r="AL29" s="32">
        <f t="shared" si="78"/>
        <v>0.00126918722924737</v>
      </c>
      <c r="AM29" s="32" t="str">
        <f t="shared" si="57"/>
        <v>1-0,0000603314295199369i</v>
      </c>
      <c r="AN29" s="32">
        <f t="shared" si="79"/>
        <v>1.00000000181994</v>
      </c>
      <c r="AO29" s="32">
        <f t="shared" si="80"/>
        <v>-6.03314294467372e-5</v>
      </c>
      <c r="AP29" s="30" t="str">
        <f t="shared" si="81"/>
        <v>236,753884953608-6,03062178824298i</v>
      </c>
      <c r="AQ29" s="32">
        <f t="shared" si="82"/>
        <v>47.488759196481</v>
      </c>
      <c r="AR29" s="31">
        <f t="shared" si="83"/>
        <v>-1.45912906865252</v>
      </c>
      <c r="AS29" t="str">
        <f t="shared" si="58"/>
        <v>-0,000272527472527473</v>
      </c>
      <c r="AT29" t="str">
        <f t="shared" si="59"/>
        <v>0,0000181879160421871i</v>
      </c>
      <c r="AU29">
        <f t="shared" si="84"/>
        <v>1.81879160421871e-5</v>
      </c>
      <c r="AV29">
        <f t="shared" si="85"/>
        <v>1.5707963267949</v>
      </c>
      <c r="AW29" t="str">
        <f t="shared" si="60"/>
        <v>1+0,000931187941416894i</v>
      </c>
      <c r="AX29">
        <f t="shared" si="86"/>
        <v>1.0000004335554</v>
      </c>
      <c r="AY29">
        <f t="shared" si="87"/>
        <v>0.000931187672269271</v>
      </c>
      <c r="AZ29" t="str">
        <f t="shared" si="61"/>
        <v>1+0,0445187086034842i</v>
      </c>
      <c r="BA29">
        <f t="shared" si="88"/>
        <v>1.00099046719523</v>
      </c>
      <c r="BB29">
        <f t="shared" si="89"/>
        <v>0.0444893327562235</v>
      </c>
      <c r="BC29" s="30" t="str">
        <f t="shared" si="90"/>
        <v>-0,65311421671361+14,9845937972278i</v>
      </c>
      <c r="BD29" s="32">
        <f t="shared" si="91"/>
        <v>23.5211420197646</v>
      </c>
      <c r="BE29" s="31">
        <f t="shared" si="92"/>
        <v>92.4956978767291</v>
      </c>
      <c r="BF29" s="30" t="str">
        <f t="shared" si="93"/>
        <v>92,2370695101249+1429,44313887967i</v>
      </c>
      <c r="BG29" s="68">
        <f t="shared" si="94"/>
        <v>63.1213827755029</v>
      </c>
      <c r="BH29" s="31">
        <f t="shared" si="95"/>
        <v>86.3080180008819</v>
      </c>
      <c r="BI29" s="30" t="str">
        <f t="shared" si="96"/>
        <v>-64,2609102838473+3551,59948077094i</v>
      </c>
      <c r="BJ29" s="68">
        <f t="shared" si="97"/>
        <v>71.0099012162455</v>
      </c>
      <c r="BK29" s="31">
        <f t="shared" si="98"/>
        <v>91.0365688080766</v>
      </c>
      <c r="BL29" s="32">
        <f t="shared" si="99"/>
        <v>63.1213827755029</v>
      </c>
      <c r="BM29" s="31">
        <f t="shared" si="100"/>
        <v>86.3080180008819</v>
      </c>
      <c r="BO29">
        <f t="shared" si="101"/>
        <v>0</v>
      </c>
      <c r="BP29">
        <f t="shared" si="102"/>
        <v>0</v>
      </c>
    </row>
    <row r="30" spans="1:68">
      <c r="A30" t="s">
        <v>486</v>
      </c>
      <c r="B30" s="10">
        <f>Gcomp</f>
        <v>0.9</v>
      </c>
      <c r="C30" s="16"/>
      <c r="E30" t="s">
        <v>487</v>
      </c>
      <c r="N30" s="7">
        <v>12</v>
      </c>
      <c r="O30" s="18">
        <f t="shared" si="62"/>
        <v>13.1825673855641</v>
      </c>
      <c r="P30" s="86" t="str">
        <f t="shared" si="50"/>
        <v>96,0576923076923</v>
      </c>
      <c r="Q30" s="4" t="str">
        <f t="shared" si="51"/>
        <v>1+0,110563322951759i</v>
      </c>
      <c r="R30" s="4">
        <f t="shared" si="63"/>
        <v>1.00609355846369</v>
      </c>
      <c r="S30" s="4">
        <f t="shared" si="64"/>
        <v>0.110116080875741</v>
      </c>
      <c r="T30" s="4" t="str">
        <f t="shared" si="52"/>
        <v>1+0,00129875109493958i</v>
      </c>
      <c r="U30" s="4">
        <f t="shared" si="65"/>
        <v>1.00000084337685</v>
      </c>
      <c r="V30" s="4">
        <f t="shared" si="66"/>
        <v>0.00129875036471561</v>
      </c>
      <c r="W30" t="str">
        <f t="shared" si="53"/>
        <v>1-0,000616612268714228i</v>
      </c>
      <c r="X30" s="4">
        <f t="shared" si="67"/>
        <v>1.00000019010533</v>
      </c>
      <c r="Y30" s="4">
        <f t="shared" si="68"/>
        <v>-0.00061661219056672</v>
      </c>
      <c r="Z30" t="str">
        <f t="shared" si="54"/>
        <v>0,999999998581387+0,00105699073463042i</v>
      </c>
      <c r="AA30" s="4">
        <f t="shared" si="69"/>
        <v>1.00000055719594</v>
      </c>
      <c r="AB30" s="4">
        <f t="shared" si="70"/>
        <v>0.00105699034249643</v>
      </c>
      <c r="AC30" s="67" t="str">
        <f t="shared" si="71"/>
        <v>94,8937454917173-10,5277752794574i</v>
      </c>
      <c r="AD30" s="68">
        <f t="shared" si="72"/>
        <v>39.5978797469339</v>
      </c>
      <c r="AE30" s="31">
        <f t="shared" si="73"/>
        <v>-6.33066413788888</v>
      </c>
      <c r="AF30" s="32" t="str">
        <f t="shared" si="74"/>
        <v>236,914774604583</v>
      </c>
      <c r="AG30" s="32" t="str">
        <f t="shared" si="55"/>
        <v>1+0,0273032900640706i</v>
      </c>
      <c r="AH30" s="32">
        <f t="shared" si="75"/>
        <v>1.00037266538442</v>
      </c>
      <c r="AI30" s="32">
        <f t="shared" si="76"/>
        <v>0.0272965085057324</v>
      </c>
      <c r="AJ30" s="32" t="str">
        <f t="shared" si="56"/>
        <v>1+0,00129875109493958i</v>
      </c>
      <c r="AK30" s="32">
        <f t="shared" si="77"/>
        <v>1.00000084337685</v>
      </c>
      <c r="AL30" s="32">
        <f t="shared" si="78"/>
        <v>0.00129875036471561</v>
      </c>
      <c r="AM30" s="32" t="str">
        <f t="shared" si="57"/>
        <v>1-0,000061736729042032i</v>
      </c>
      <c r="AN30" s="32">
        <f t="shared" si="79"/>
        <v>1.00000000190571</v>
      </c>
      <c r="AO30" s="32">
        <f t="shared" si="80"/>
        <v>-6.17367289635971e-5</v>
      </c>
      <c r="AP30" s="30" t="str">
        <f t="shared" si="81"/>
        <v>236,746308106271-6,17088614214409i</v>
      </c>
      <c r="AQ30" s="32">
        <f t="shared" si="82"/>
        <v>47.4886139200166</v>
      </c>
      <c r="AR30" s="31">
        <f t="shared" si="83"/>
        <v>-1.4930990722927</v>
      </c>
      <c r="AS30" t="str">
        <f t="shared" si="58"/>
        <v>-0,000272527472527473</v>
      </c>
      <c r="AT30" t="str">
        <f t="shared" si="59"/>
        <v>0,0000186115670301609i</v>
      </c>
      <c r="AU30">
        <f t="shared" si="84"/>
        <v>1.86115670301609e-5</v>
      </c>
      <c r="AV30">
        <f t="shared" si="85"/>
        <v>1.5707963267949</v>
      </c>
      <c r="AW30" t="str">
        <f t="shared" si="60"/>
        <v>1+0,000952878094948255i</v>
      </c>
      <c r="AX30">
        <f t="shared" si="86"/>
        <v>1.00000045398823</v>
      </c>
      <c r="AY30">
        <f t="shared" si="87"/>
        <v>0.000952877806551388</v>
      </c>
      <c r="AZ30" t="str">
        <f t="shared" si="61"/>
        <v>1+0,0455556825393346i</v>
      </c>
      <c r="BA30">
        <f t="shared" si="88"/>
        <v>1.00103712229449</v>
      </c>
      <c r="BB30">
        <f t="shared" si="89"/>
        <v>0.0455242075129278</v>
      </c>
      <c r="BC30" s="30" t="str">
        <f t="shared" si="90"/>
        <v>-0,653114190023678+14,6435308093634i</v>
      </c>
      <c r="BD30" s="32">
        <f t="shared" si="91"/>
        <v>23.3215466729154</v>
      </c>
      <c r="BE30" s="31">
        <f t="shared" si="92"/>
        <v>92.5537490794615</v>
      </c>
      <c r="BF30" s="30" t="str">
        <f t="shared" si="93"/>
        <v>92,1873499336528+1396,45532514825i</v>
      </c>
      <c r="BG30" s="68">
        <f t="shared" si="94"/>
        <v>62.9194264198493</v>
      </c>
      <c r="BH30" s="31">
        <f t="shared" si="95"/>
        <v>86.2230849415726</v>
      </c>
      <c r="BI30" s="30" t="str">
        <f t="shared" si="96"/>
        <v>-64,2588119163626+3470,83215006167i</v>
      </c>
      <c r="BJ30" s="68">
        <f t="shared" si="97"/>
        <v>70.810160592932</v>
      </c>
      <c r="BK30" s="31">
        <f t="shared" si="98"/>
        <v>91.0606500071687</v>
      </c>
      <c r="BL30" s="32">
        <f t="shared" si="99"/>
        <v>62.9194264198493</v>
      </c>
      <c r="BM30" s="31">
        <f t="shared" si="100"/>
        <v>86.2230849415726</v>
      </c>
      <c r="BO30">
        <f t="shared" si="101"/>
        <v>0</v>
      </c>
      <c r="BP30">
        <f t="shared" si="102"/>
        <v>0</v>
      </c>
    </row>
    <row r="31" spans="1:68">
      <c r="A31" t="s">
        <v>436</v>
      </c>
      <c r="B31">
        <v>1</v>
      </c>
      <c r="E31" t="s">
        <v>488</v>
      </c>
      <c r="N31" s="7">
        <v>13</v>
      </c>
      <c r="O31" s="18">
        <f t="shared" si="62"/>
        <v>13.4896288259165</v>
      </c>
      <c r="P31" s="86" t="str">
        <f t="shared" si="50"/>
        <v>96,0576923076923</v>
      </c>
      <c r="Q31" s="4" t="str">
        <f t="shared" si="51"/>
        <v>1+0,113138673579808i</v>
      </c>
      <c r="R31" s="4">
        <f t="shared" si="63"/>
        <v>1.00637982862307</v>
      </c>
      <c r="S31" s="4">
        <f t="shared" si="64"/>
        <v>0.112659608988128</v>
      </c>
      <c r="T31" s="4" t="str">
        <f t="shared" si="52"/>
        <v>1+0,00132900289416862i</v>
      </c>
      <c r="U31" s="4">
        <f t="shared" si="65"/>
        <v>1.00000088312396</v>
      </c>
      <c r="V31" s="4">
        <f t="shared" si="66"/>
        <v>0.00132900211171957</v>
      </c>
      <c r="W31" t="str">
        <f t="shared" si="53"/>
        <v>1-0,000630975013529603i</v>
      </c>
      <c r="X31" s="4">
        <f t="shared" si="67"/>
        <v>1.00000019906471</v>
      </c>
      <c r="Y31" s="4">
        <f t="shared" si="68"/>
        <v>-0.000630974929793041</v>
      </c>
      <c r="Z31" t="str">
        <f t="shared" si="54"/>
        <v>0,99999999851453+0,00108161121165299i</v>
      </c>
      <c r="AA31" s="4">
        <f t="shared" si="69"/>
        <v>1.00000058345577</v>
      </c>
      <c r="AB31" s="4">
        <f t="shared" si="70"/>
        <v>0.00108161079147386</v>
      </c>
      <c r="AC31" s="67" t="str">
        <f t="shared" si="71"/>
        <v>94,8395836589725-10,7668708718504i</v>
      </c>
      <c r="AD31" s="68">
        <f t="shared" si="72"/>
        <v>39.5954088423658</v>
      </c>
      <c r="AE31" s="31">
        <f t="shared" si="73"/>
        <v>-6.47689783853131</v>
      </c>
      <c r="AF31" s="32" t="str">
        <f t="shared" si="74"/>
        <v>236,914774604583</v>
      </c>
      <c r="AG31" s="32" t="str">
        <f t="shared" si="55"/>
        <v>1+0,0279392653887721i</v>
      </c>
      <c r="AH31" s="32">
        <f t="shared" si="75"/>
        <v>1.0003902251374</v>
      </c>
      <c r="AI31" s="32">
        <f t="shared" si="76"/>
        <v>0.0279319989711722</v>
      </c>
      <c r="AJ31" s="32" t="str">
        <f t="shared" si="56"/>
        <v>1+0,00132900289416862i</v>
      </c>
      <c r="AK31" s="32">
        <f t="shared" si="77"/>
        <v>1.00000088312396</v>
      </c>
      <c r="AL31" s="32">
        <f t="shared" si="78"/>
        <v>0.00132900211171957</v>
      </c>
      <c r="AM31" s="32" t="str">
        <f t="shared" si="57"/>
        <v>1-0,0000631747621950468i</v>
      </c>
      <c r="AN31" s="32">
        <f t="shared" si="79"/>
        <v>1.00000000199553</v>
      </c>
      <c r="AO31" s="32">
        <f t="shared" si="80"/>
        <v>-6.31747621110022e-5</v>
      </c>
      <c r="AP31" s="30" t="str">
        <f t="shared" si="81"/>
        <v>236,738374717633-6,31440289236788i</v>
      </c>
      <c r="AQ31" s="32">
        <f t="shared" si="82"/>
        <v>47.4884618021155</v>
      </c>
      <c r="AR31" s="31">
        <f t="shared" si="83"/>
        <v>-1.52785908968713</v>
      </c>
      <c r="AS31" t="str">
        <f t="shared" si="58"/>
        <v>-0,000272527472527473</v>
      </c>
      <c r="AT31" t="str">
        <f t="shared" si="59"/>
        <v>0,0000190450861173271i</v>
      </c>
      <c r="AU31">
        <f t="shared" si="84"/>
        <v>1.90450861173271e-5</v>
      </c>
      <c r="AV31">
        <f t="shared" si="85"/>
        <v>1.5707963267949</v>
      </c>
      <c r="AW31" t="str">
        <f t="shared" si="60"/>
        <v>1+0,00097507347705838i</v>
      </c>
      <c r="AX31">
        <f t="shared" si="86"/>
        <v>1.00000047538403</v>
      </c>
      <c r="AY31">
        <f t="shared" si="87"/>
        <v>0.000975073168035577</v>
      </c>
      <c r="AZ31" t="str">
        <f t="shared" si="61"/>
        <v>1+0,0466168107010676i</v>
      </c>
      <c r="BA31">
        <f t="shared" si="88"/>
        <v>1.00108597385037</v>
      </c>
      <c r="BB31">
        <f t="shared" si="89"/>
        <v>0.0465830865782907</v>
      </c>
      <c r="BC31" s="30" t="str">
        <f t="shared" si="90"/>
        <v>-0,653114162075887+14,310232015362i</v>
      </c>
      <c r="BD31" s="32">
        <f t="shared" si="91"/>
        <v>23.1219703563395</v>
      </c>
      <c r="BE31" s="31">
        <f t="shared" si="92"/>
        <v>92.6131466803837</v>
      </c>
      <c r="BF31" s="30" t="str">
        <f t="shared" si="93"/>
        <v>92,1353450425664+1364,20844224788i</v>
      </c>
      <c r="BG31" s="68">
        <f t="shared" si="94"/>
        <v>62.7173791987052</v>
      </c>
      <c r="BH31" s="31">
        <f t="shared" si="95"/>
        <v>86.1362488418524</v>
      </c>
      <c r="BI31" s="30" t="str">
        <f t="shared" si="96"/>
        <v>-64,256614806657+3391,9050951031i</v>
      </c>
      <c r="BJ31" s="68">
        <f t="shared" si="97"/>
        <v>70.610432158455</v>
      </c>
      <c r="BK31" s="31">
        <f t="shared" si="98"/>
        <v>91.0852875906965</v>
      </c>
      <c r="BL31" s="32">
        <f t="shared" si="99"/>
        <v>62.7173791987052</v>
      </c>
      <c r="BM31" s="31">
        <f t="shared" si="100"/>
        <v>86.1362488418524</v>
      </c>
      <c r="BO31">
        <f t="shared" si="101"/>
        <v>0</v>
      </c>
      <c r="BP31">
        <f t="shared" si="102"/>
        <v>0</v>
      </c>
    </row>
    <row r="32" ht="15.75" spans="1:68">
      <c r="A32" s="87" t="s">
        <v>489</v>
      </c>
      <c r="N32" s="7">
        <v>14</v>
      </c>
      <c r="O32" s="18">
        <f t="shared" si="62"/>
        <v>13.8038426460289</v>
      </c>
      <c r="P32" s="86" t="str">
        <f t="shared" si="50"/>
        <v>96,0576923076923</v>
      </c>
      <c r="Q32" s="4" t="str">
        <f t="shared" si="51"/>
        <v>1+0,115774011830158i</v>
      </c>
      <c r="R32" s="4">
        <f t="shared" si="63"/>
        <v>1.00667950302728</v>
      </c>
      <c r="S32" s="4">
        <f t="shared" si="64"/>
        <v>0.115260868647605</v>
      </c>
      <c r="T32" s="4" t="str">
        <f t="shared" si="52"/>
        <v>1+0,0013599593483236i</v>
      </c>
      <c r="U32" s="4">
        <f t="shared" si="65"/>
        <v>1.00000092474429</v>
      </c>
      <c r="V32" s="4">
        <f t="shared" si="66"/>
        <v>0.00135995850991438</v>
      </c>
      <c r="W32" t="str">
        <f t="shared" si="53"/>
        <v>1-0,000645672309649101i</v>
      </c>
      <c r="X32" s="4">
        <f t="shared" si="67"/>
        <v>1.00000020844634</v>
      </c>
      <c r="Y32" s="4">
        <f t="shared" si="68"/>
        <v>-0.000645672219923759</v>
      </c>
      <c r="Z32" t="str">
        <f t="shared" si="54"/>
        <v>0,999999998444522+0,00110680517325681i</v>
      </c>
      <c r="AA32" s="4">
        <f t="shared" si="69"/>
        <v>1.00000061095318</v>
      </c>
      <c r="AB32" s="4">
        <f t="shared" si="70"/>
        <v>0.00110680472302678</v>
      </c>
      <c r="AC32" s="67" t="str">
        <f t="shared" si="71"/>
        <v>94,782935260451-11,0111051017287i</v>
      </c>
      <c r="AD32" s="68">
        <f t="shared" si="72"/>
        <v>39.5928229937622</v>
      </c>
      <c r="AE32" s="31">
        <f t="shared" si="73"/>
        <v>-6.62645096611356</v>
      </c>
      <c r="AF32" s="32" t="str">
        <f t="shared" si="74"/>
        <v>236,914774604583</v>
      </c>
      <c r="AG32" s="32" t="str">
        <f t="shared" si="55"/>
        <v>1+0,0285900544818029i</v>
      </c>
      <c r="AH32" s="32">
        <f t="shared" si="75"/>
        <v>1.0004086121257</v>
      </c>
      <c r="AI32" s="32">
        <f t="shared" si="76"/>
        <v>0.0285822685468134</v>
      </c>
      <c r="AJ32" s="32" t="str">
        <f t="shared" si="56"/>
        <v>1+0,0013599593483236i</v>
      </c>
      <c r="AK32" s="32">
        <f t="shared" si="77"/>
        <v>1.00000092474429</v>
      </c>
      <c r="AL32" s="32">
        <f t="shared" si="78"/>
        <v>0.00135995850991438</v>
      </c>
      <c r="AM32" s="32" t="str">
        <f t="shared" si="57"/>
        <v>1-0,0000646462914431949i</v>
      </c>
      <c r="AN32" s="32">
        <f t="shared" si="79"/>
        <v>1.00000000208957</v>
      </c>
      <c r="AO32" s="32">
        <f t="shared" si="80"/>
        <v>-6.46462913531395e-5</v>
      </c>
      <c r="AP32" s="30" t="str">
        <f t="shared" si="81"/>
        <v>236,730068036893-6,46124674174249i</v>
      </c>
      <c r="AQ32" s="32">
        <f t="shared" si="82"/>
        <v>47.4883025208552</v>
      </c>
      <c r="AR32" s="31">
        <f t="shared" si="83"/>
        <v>-1.56342743336664</v>
      </c>
      <c r="AS32" t="str">
        <f t="shared" si="58"/>
        <v>-0,000272527472527473</v>
      </c>
      <c r="AT32" t="str">
        <f t="shared" si="59"/>
        <v>0,0000194887031612444i</v>
      </c>
      <c r="AU32">
        <f t="shared" si="84"/>
        <v>1.94887031612444e-5</v>
      </c>
      <c r="AV32">
        <f t="shared" si="85"/>
        <v>1.5707963267949</v>
      </c>
      <c r="AW32" t="str">
        <f t="shared" si="60"/>
        <v>1+0,000997785856032675i</v>
      </c>
      <c r="AX32">
        <f t="shared" si="86"/>
        <v>1.00000049778818</v>
      </c>
      <c r="AY32">
        <f t="shared" si="87"/>
        <v>0.000997785524908785</v>
      </c>
      <c r="AZ32" t="str">
        <f t="shared" si="61"/>
        <v>1+0,0477026557128812i</v>
      </c>
      <c r="BA32">
        <f t="shared" si="88"/>
        <v>1.00113712515422</v>
      </c>
      <c r="BB32">
        <f t="shared" si="89"/>
        <v>0.0476665218806739</v>
      </c>
      <c r="BC32" s="30" t="str">
        <f t="shared" si="90"/>
        <v>-0,653114132810964+13,9845206957907i</v>
      </c>
      <c r="BD32" s="32">
        <f t="shared" si="91"/>
        <v>22.9224139630127</v>
      </c>
      <c r="BE32" s="31">
        <f t="shared" si="92"/>
        <v>92.6739216283941</v>
      </c>
      <c r="BF32" s="30" t="str">
        <f t="shared" si="93"/>
        <v>92,0809526107444+1332,68542811737i</v>
      </c>
      <c r="BG32" s="68">
        <f t="shared" si="94"/>
        <v>62.5152369567749</v>
      </c>
      <c r="BH32" s="31">
        <f t="shared" si="95"/>
        <v>86.0474706622805</v>
      </c>
      <c r="BI32" s="30" t="str">
        <f t="shared" si="96"/>
        <v>-64,2543143156878+3314,77646734048i</v>
      </c>
      <c r="BJ32" s="68">
        <f t="shared" si="97"/>
        <v>70.4107164838678</v>
      </c>
      <c r="BK32" s="31">
        <f t="shared" si="98"/>
        <v>91.1104941950275</v>
      </c>
      <c r="BL32" s="32">
        <f t="shared" si="99"/>
        <v>62.5152369567749</v>
      </c>
      <c r="BM32" s="31">
        <f t="shared" si="100"/>
        <v>86.0474706622805</v>
      </c>
      <c r="BO32">
        <f t="shared" si="101"/>
        <v>0</v>
      </c>
      <c r="BP32">
        <f t="shared" si="102"/>
        <v>0</v>
      </c>
    </row>
    <row r="33" spans="1:68">
      <c r="N33" s="7">
        <v>15</v>
      </c>
      <c r="O33" s="18">
        <f t="shared" si="62"/>
        <v>14.1253754462275</v>
      </c>
      <c r="P33" s="86" t="str">
        <f t="shared" si="50"/>
        <v>96,0576923076923</v>
      </c>
      <c r="Q33" s="4" t="str">
        <f t="shared" si="51"/>
        <v>1+0,118470734994029i</v>
      </c>
      <c r="R33" s="4">
        <f t="shared" si="63"/>
        <v>1.00699320506646</v>
      </c>
      <c r="S33" s="4">
        <f t="shared" si="64"/>
        <v>0.117921098187877</v>
      </c>
      <c r="T33" s="4" t="str">
        <f t="shared" si="52"/>
        <v>1+0,00139163687092623i</v>
      </c>
      <c r="U33" s="4">
        <f t="shared" si="65"/>
        <v>1.00000096832612</v>
      </c>
      <c r="V33" s="4">
        <f t="shared" si="66"/>
        <v>0.00139163597255462</v>
      </c>
      <c r="W33" t="str">
        <f t="shared" si="53"/>
        <v>1-0,00066071194977365i</v>
      </c>
      <c r="X33" s="4">
        <f t="shared" si="67"/>
        <v>1.00000021827012</v>
      </c>
      <c r="Y33" s="4">
        <f t="shared" si="68"/>
        <v>-0.000660711853631215</v>
      </c>
      <c r="Z33" t="str">
        <f t="shared" si="54"/>
        <v>0,999999998371214+0,00113258597761377i</v>
      </c>
      <c r="AA33" s="4">
        <f t="shared" si="69"/>
        <v>1.00000063974651</v>
      </c>
      <c r="AB33" s="4">
        <f t="shared" si="70"/>
        <v>0.00113258549518362</v>
      </c>
      <c r="AC33" s="67" t="str">
        <f t="shared" si="71"/>
        <v>94,7236893464915-11,2605677831791i</v>
      </c>
      <c r="AD33" s="68">
        <f t="shared" si="72"/>
        <v>39.5901169273177</v>
      </c>
      <c r="AE33" s="31">
        <f t="shared" si="73"/>
        <v>-6.77939474336625</v>
      </c>
      <c r="AF33" s="32" t="str">
        <f t="shared" si="74"/>
        <v>236,914774604583</v>
      </c>
      <c r="AG33" s="32" t="str">
        <f t="shared" si="55"/>
        <v>1+0,0292560024001536i</v>
      </c>
      <c r="AH33" s="32">
        <f t="shared" si="75"/>
        <v>1.00042786530386</v>
      </c>
      <c r="AI33" s="32">
        <f t="shared" si="76"/>
        <v>0.0292476598131979</v>
      </c>
      <c r="AJ33" s="32" t="str">
        <f t="shared" si="56"/>
        <v>1+0,00139163687092623i</v>
      </c>
      <c r="AK33" s="32">
        <f t="shared" si="77"/>
        <v>1.00000096832612</v>
      </c>
      <c r="AL33" s="32">
        <f t="shared" si="78"/>
        <v>0.00139163597255462</v>
      </c>
      <c r="AM33" s="32" t="str">
        <f t="shared" si="57"/>
        <v>1-0,0000661520970107601i</v>
      </c>
      <c r="AN33" s="32">
        <f t="shared" si="79"/>
        <v>1.00000000218805</v>
      </c>
      <c r="AO33" s="32">
        <f t="shared" si="80"/>
        <v>-6.6152096914264e-5</v>
      </c>
      <c r="AP33" s="30" t="str">
        <f t="shared" si="81"/>
        <v>236,721370528858-6,61149405790594i</v>
      </c>
      <c r="AQ33" s="32">
        <f t="shared" si="82"/>
        <v>47.4881357391897</v>
      </c>
      <c r="AR33" s="31">
        <f t="shared" si="83"/>
        <v>-1.59982283604379</v>
      </c>
      <c r="AS33" t="str">
        <f t="shared" si="58"/>
        <v>-0,000272527472527473</v>
      </c>
      <c r="AT33" t="str">
        <f t="shared" si="59"/>
        <v>0,000019942653373541i</v>
      </c>
      <c r="AU33">
        <f t="shared" si="84"/>
        <v>1.9942653373541e-5</v>
      </c>
      <c r="AV33">
        <f t="shared" si="85"/>
        <v>1.5707963267949</v>
      </c>
      <c r="AW33" t="str">
        <f t="shared" si="60"/>
        <v>1+0,00102102727427508i</v>
      </c>
      <c r="AX33">
        <f t="shared" si="86"/>
        <v>1.00000052124821</v>
      </c>
      <c r="AY33">
        <f t="shared" si="87"/>
        <v>0.00102102691946945</v>
      </c>
      <c r="AZ33" t="str">
        <f t="shared" si="61"/>
        <v>1+0,0488137933041725i</v>
      </c>
      <c r="BA33">
        <f t="shared" si="88"/>
        <v>1.00119068434377</v>
      </c>
      <c r="BB33">
        <f t="shared" si="89"/>
        <v>0.0487750776918606</v>
      </c>
      <c r="BC33" s="30" t="str">
        <f t="shared" si="90"/>
        <v>-0,65311410216683+13,6662241541968i</v>
      </c>
      <c r="BD33" s="32">
        <f t="shared" si="91"/>
        <v>22.7228784276215</v>
      </c>
      <c r="BE33" s="31">
        <f t="shared" si="92"/>
        <v>92.7361055639115</v>
      </c>
      <c r="BF33" s="30" t="str">
        <f t="shared" si="93"/>
        <v>92,024066106989+1301,86960693926i</v>
      </c>
      <c r="BG33" s="68">
        <f t="shared" si="94"/>
        <v>62.3129953549392</v>
      </c>
      <c r="BH33" s="31">
        <f t="shared" si="95"/>
        <v>85.9567108205452</v>
      </c>
      <c r="BI33" s="30" t="str">
        <f t="shared" si="96"/>
        <v>-64,2519055871738+3239,40537174166i</v>
      </c>
      <c r="BJ33" s="68">
        <f t="shared" si="97"/>
        <v>70.2110141668113</v>
      </c>
      <c r="BK33" s="31">
        <f t="shared" si="98"/>
        <v>91.1362827278677</v>
      </c>
      <c r="BL33" s="32">
        <f t="shared" si="99"/>
        <v>62.3129953549392</v>
      </c>
      <c r="BM33" s="31">
        <f t="shared" si="100"/>
        <v>85.9567108205452</v>
      </c>
      <c r="BO33">
        <f t="shared" si="101"/>
        <v>0</v>
      </c>
      <c r="BP33">
        <f t="shared" si="102"/>
        <v>0</v>
      </c>
    </row>
    <row r="34" spans="1:68">
      <c r="A34" t="s">
        <v>450</v>
      </c>
      <c r="B34" s="88">
        <f>(Gcomp*(VOUT/IOUT)*(1-DC_VIN_Var))/(R_cs*Acs*(1+DC_VIN_Var))</f>
        <v>96.0576923076923</v>
      </c>
      <c r="C34" t="s">
        <v>244</v>
      </c>
      <c r="E34" t="s">
        <v>490</v>
      </c>
      <c r="N34" s="7">
        <v>16</v>
      </c>
      <c r="O34" s="18">
        <f t="shared" si="62"/>
        <v>14.4543977074593</v>
      </c>
      <c r="P34" s="86" t="str">
        <f t="shared" si="50"/>
        <v>96,0576923076923</v>
      </c>
      <c r="Q34" s="4" t="str">
        <f t="shared" si="51"/>
        <v>1+0,121230272909741i</v>
      </c>
      <c r="R34" s="4">
        <f t="shared" si="63"/>
        <v>1.00732158671884</v>
      </c>
      <c r="S34" s="4">
        <f t="shared" si="64"/>
        <v>0.120641557408921</v>
      </c>
      <c r="T34" s="4" t="str">
        <f t="shared" si="52"/>
        <v>1+0,00142405225781833i</v>
      </c>
      <c r="U34" s="4">
        <f t="shared" si="65"/>
        <v>1.0000010139619</v>
      </c>
      <c r="V34" s="4">
        <f t="shared" si="66"/>
        <v>0.00142405129519586</v>
      </c>
      <c r="W34" t="str">
        <f t="shared" si="53"/>
        <v>1-0,000676101908119533i</v>
      </c>
      <c r="X34" s="4">
        <f t="shared" si="67"/>
        <v>1.00000022855687</v>
      </c>
      <c r="Y34" s="4">
        <f t="shared" si="68"/>
        <v>-0.000676101805101059</v>
      </c>
      <c r="Z34" t="str">
        <f t="shared" si="54"/>
        <v>0,999999998294452+0,00115896729404763i</v>
      </c>
      <c r="AA34" s="4">
        <f t="shared" si="69"/>
        <v>1.00000066989682</v>
      </c>
      <c r="AB34" s="4">
        <f t="shared" si="70"/>
        <v>0.00115896677711443</v>
      </c>
      <c r="AC34" s="67" t="str">
        <f t="shared" si="71"/>
        <v>94,6617303216345-11,515348794586i</v>
      </c>
      <c r="AD34" s="68">
        <f t="shared" si="72"/>
        <v>39.5872851342216</v>
      </c>
      <c r="AE34" s="31">
        <f t="shared" si="73"/>
        <v>-6.93580162926953</v>
      </c>
      <c r="AF34" s="32" t="str">
        <f t="shared" si="74"/>
        <v>236,914774604583</v>
      </c>
      <c r="AG34" s="32" t="str">
        <f t="shared" si="55"/>
        <v>1+0,0299374622382263i</v>
      </c>
      <c r="AH34" s="32">
        <f t="shared" si="75"/>
        <v>1.00044802545923</v>
      </c>
      <c r="AI34" s="32">
        <f t="shared" si="76"/>
        <v>0.0299285232114426</v>
      </c>
      <c r="AJ34" s="32" t="str">
        <f t="shared" si="56"/>
        <v>1+0,00142405225781833i</v>
      </c>
      <c r="AK34" s="32">
        <f t="shared" si="77"/>
        <v>1.0000010139619</v>
      </c>
      <c r="AL34" s="32">
        <f t="shared" si="78"/>
        <v>0.00142405129519586</v>
      </c>
      <c r="AM34" s="32" t="str">
        <f t="shared" si="57"/>
        <v>1-0,0000676929772957878i</v>
      </c>
      <c r="AN34" s="32">
        <f t="shared" si="79"/>
        <v>1.00000000229117</v>
      </c>
      <c r="AO34" s="32">
        <f t="shared" si="80"/>
        <v>-6.76929771923904e-5</v>
      </c>
      <c r="AP34" s="30" t="str">
        <f t="shared" si="81"/>
        <v>236,712263837469-6,76522290673147i</v>
      </c>
      <c r="AQ34" s="32">
        <f t="shared" si="82"/>
        <v>47.4879611042423</v>
      </c>
      <c r="AR34" s="31">
        <f t="shared" si="83"/>
        <v>-1.63706445994592</v>
      </c>
      <c r="AS34" t="str">
        <f t="shared" si="58"/>
        <v>-0,000272527472527473</v>
      </c>
      <c r="AT34" t="str">
        <f t="shared" si="59"/>
        <v>0,0000204071774446288i</v>
      </c>
      <c r="AU34">
        <f t="shared" si="84"/>
        <v>2.04071774446288e-5</v>
      </c>
      <c r="AV34">
        <f t="shared" si="85"/>
        <v>1.5707963267949</v>
      </c>
      <c r="AW34" t="str">
        <f t="shared" si="60"/>
        <v>1+0,00104481005469322i</v>
      </c>
      <c r="AX34">
        <f t="shared" si="86"/>
        <v>1.00000054581388</v>
      </c>
      <c r="AY34">
        <f t="shared" si="87"/>
        <v>0.00104480967451215</v>
      </c>
      <c r="AZ34" t="str">
        <f t="shared" si="61"/>
        <v>1+0,0499508126148012i</v>
      </c>
      <c r="BA34">
        <f t="shared" si="88"/>
        <v>1.00124676462942</v>
      </c>
      <c r="BB34">
        <f t="shared" si="89"/>
        <v>0.0499093308782242</v>
      </c>
      <c r="BC34" s="30" t="str">
        <f t="shared" si="90"/>
        <v>-0,653114070078481+13,3551736255401i</v>
      </c>
      <c r="BD34" s="32">
        <f t="shared" si="91"/>
        <v>22.5233647284922</v>
      </c>
      <c r="BE34" s="31">
        <f t="shared" si="92"/>
        <v>92.7997308329002</v>
      </c>
      <c r="BF34" s="30" t="str">
        <f t="shared" si="93"/>
        <v>91,9645745393157+1271,74468045909i</v>
      </c>
      <c r="BG34" s="68">
        <f t="shared" si="94"/>
        <v>62.1106498627138</v>
      </c>
      <c r="BH34" s="31">
        <f t="shared" si="95"/>
        <v>85.8639292036307</v>
      </c>
      <c r="BI34" s="30" t="str">
        <f t="shared" si="96"/>
        <v>-64,2493835375008+3165,75184511166i</v>
      </c>
      <c r="BJ34" s="68">
        <f t="shared" si="97"/>
        <v>70.0113258327346</v>
      </c>
      <c r="BK34" s="31">
        <f t="shared" si="98"/>
        <v>91.1626663729543</v>
      </c>
      <c r="BL34" s="32">
        <f t="shared" si="99"/>
        <v>62.1106498627138</v>
      </c>
      <c r="BM34" s="31">
        <f t="shared" si="100"/>
        <v>85.8639292036307</v>
      </c>
      <c r="BO34">
        <f t="shared" si="101"/>
        <v>0</v>
      </c>
      <c r="BP34">
        <f t="shared" si="102"/>
        <v>0</v>
      </c>
    </row>
    <row r="35" spans="1:68">
      <c r="A35" t="s">
        <v>442</v>
      </c>
      <c r="B35" s="89">
        <f>(1+DC_VIN_Var)/(Cout*(VOUT/IOUT))</f>
        <v>749.150002881346</v>
      </c>
      <c r="C35" t="s">
        <v>324</v>
      </c>
      <c r="E35" t="s">
        <v>491</v>
      </c>
      <c r="N35" s="7">
        <v>17</v>
      </c>
      <c r="O35" s="18">
        <f t="shared" si="62"/>
        <v>14.7910838816821</v>
      </c>
      <c r="P35" s="86" t="str">
        <f t="shared" si="50"/>
        <v>96,0576923076923</v>
      </c>
      <c r="Q35" s="4" t="str">
        <f t="shared" si="51"/>
        <v>1+0,124054088720821i</v>
      </c>
      <c r="R35" s="4">
        <f t="shared" si="63"/>
        <v>1.00766532982352</v>
      </c>
      <c r="S35" s="4">
        <f t="shared" si="64"/>
        <v>0.123423527576914</v>
      </c>
      <c r="T35" s="4" t="str">
        <f t="shared" si="52"/>
        <v>1+0,00145722269606709i</v>
      </c>
      <c r="U35" s="4">
        <f t="shared" si="65"/>
        <v>1.00000106174843</v>
      </c>
      <c r="V35" s="4">
        <f t="shared" si="66"/>
        <v>0.00145722166459858</v>
      </c>
      <c r="W35" t="str">
        <f t="shared" si="53"/>
        <v>1-0,000691850344646364i</v>
      </c>
      <c r="X35" s="4">
        <f t="shared" si="67"/>
        <v>1.00000023932842</v>
      </c>
      <c r="Y35" s="4">
        <f t="shared" si="68"/>
        <v>-0.000691850234260082</v>
      </c>
      <c r="Z35" t="str">
        <f t="shared" si="54"/>
        <v>0,999999998214072+0,00118596311028152i</v>
      </c>
      <c r="AA35" s="4">
        <f t="shared" si="69"/>
        <v>1.00000070146808</v>
      </c>
      <c r="AB35" s="4">
        <f t="shared" si="70"/>
        <v>0.00118596255637763</v>
      </c>
      <c r="AC35" s="67" t="str">
        <f t="shared" si="71"/>
        <v>94,5969377792177-11,7755379479871i</v>
      </c>
      <c r="AD35" s="68">
        <f t="shared" si="72"/>
        <v>39.5843218608477</v>
      </c>
      <c r="AE35" s="31">
        <f t="shared" si="73"/>
        <v>-7.09574531919641</v>
      </c>
      <c r="AF35" s="32" t="str">
        <f t="shared" si="74"/>
        <v>236,914774604583</v>
      </c>
      <c r="AG35" s="32" t="str">
        <f t="shared" si="55"/>
        <v>1+0,0306347953150467i</v>
      </c>
      <c r="AH35" s="32">
        <f t="shared" si="75"/>
        <v>1.00046913529803</v>
      </c>
      <c r="AI35" s="32">
        <f t="shared" si="76"/>
        <v>0.0306252172178384</v>
      </c>
      <c r="AJ35" s="32" t="str">
        <f t="shared" si="56"/>
        <v>1+0,00145722269606709i</v>
      </c>
      <c r="AK35" s="32">
        <f t="shared" si="77"/>
        <v>1.00000106174843</v>
      </c>
      <c r="AL35" s="32">
        <f t="shared" si="78"/>
        <v>0.00145722166459858</v>
      </c>
      <c r="AM35" s="32" t="str">
        <f t="shared" si="57"/>
        <v>1-0,0000692697492933999i</v>
      </c>
      <c r="AN35" s="32">
        <f t="shared" si="79"/>
        <v>1.00000000239915</v>
      </c>
      <c r="AO35" s="32">
        <f t="shared" si="80"/>
        <v>-6.92697491826076e-5</v>
      </c>
      <c r="AP35" s="30" t="str">
        <f t="shared" si="81"/>
        <v>236,702728747644-6,92251308615044i</v>
      </c>
      <c r="AQ35" s="32">
        <f t="shared" si="82"/>
        <v>47.4877782465639</v>
      </c>
      <c r="AR35" s="31">
        <f t="shared" si="83"/>
        <v>-1.67517190633309</v>
      </c>
      <c r="AS35" t="str">
        <f t="shared" si="58"/>
        <v>-0,000272527472527473</v>
      </c>
      <c r="AT35" t="str">
        <f t="shared" si="59"/>
        <v>0,0000208825216713185i</v>
      </c>
      <c r="AU35">
        <f t="shared" si="84"/>
        <v>2.08825216713185e-5</v>
      </c>
      <c r="AV35">
        <f t="shared" si="85"/>
        <v>1.5707963267949</v>
      </c>
      <c r="AW35" t="str">
        <f t="shared" si="60"/>
        <v>1+0,00106914680723204i</v>
      </c>
      <c r="AX35">
        <f t="shared" si="86"/>
        <v>1.00000057153728</v>
      </c>
      <c r="AY35">
        <f t="shared" si="87"/>
        <v>0.00106914639986069</v>
      </c>
      <c r="AZ35" t="str">
        <f t="shared" si="61"/>
        <v>1+0,0511143165074551i</v>
      </c>
      <c r="BA35">
        <f t="shared" si="88"/>
        <v>1.00130548453108</v>
      </c>
      <c r="BB35">
        <f t="shared" si="89"/>
        <v>0.0510698711551764</v>
      </c>
      <c r="BC35" s="30" t="str">
        <f t="shared" si="90"/>
        <v>-0,653114036477863+13,0512041867133i</v>
      </c>
      <c r="BD35" s="32">
        <f t="shared" si="91"/>
        <v>22.3238738896091</v>
      </c>
      <c r="BE35" s="31">
        <f t="shared" si="92"/>
        <v>92.8648305010749</v>
      </c>
      <c r="BF35" s="30" t="str">
        <f t="shared" si="93"/>
        <v>91,9023622961405+1242,29471951529i</v>
      </c>
      <c r="BG35" s="68">
        <f t="shared" si="94"/>
        <v>61.9081957504568</v>
      </c>
      <c r="BH35" s="31">
        <f t="shared" si="95"/>
        <v>85.7690851818785</v>
      </c>
      <c r="BI35" s="30" t="str">
        <f t="shared" si="96"/>
        <v>-64,2467428451542+3093,77683490198i</v>
      </c>
      <c r="BJ35" s="68">
        <f t="shared" si="97"/>
        <v>69.811652136173</v>
      </c>
      <c r="BK35" s="31">
        <f t="shared" si="98"/>
        <v>91.1896585947418</v>
      </c>
      <c r="BL35" s="32">
        <f t="shared" si="99"/>
        <v>61.9081957504568</v>
      </c>
      <c r="BM35" s="31">
        <f t="shared" si="100"/>
        <v>85.7690851818785</v>
      </c>
      <c r="BO35">
        <f t="shared" si="101"/>
        <v>0</v>
      </c>
      <c r="BP35">
        <f t="shared" si="102"/>
        <v>0</v>
      </c>
    </row>
    <row r="36" spans="1:68">
      <c r="B36" s="90">
        <f>wp_lf/(2*PI())</f>
        <v>119.230926075874</v>
      </c>
      <c r="C36" t="s">
        <v>111</v>
      </c>
      <c r="N36" s="7">
        <v>18</v>
      </c>
      <c r="O36" s="18">
        <f t="shared" si="62"/>
        <v>15.1356124843621</v>
      </c>
      <c r="P36" s="86" t="str">
        <f t="shared" si="50"/>
        <v>96,0576923076923</v>
      </c>
      <c r="Q36" s="4" t="str">
        <f t="shared" si="51"/>
        <v>1+0,126943679651791i</v>
      </c>
      <c r="R36" s="4">
        <f t="shared" si="63"/>
        <v>1.00802514740632</v>
      </c>
      <c r="S36" s="4">
        <f t="shared" si="64"/>
        <v>0.126268311391677</v>
      </c>
      <c r="T36" s="4" t="str">
        <f t="shared" si="52"/>
        <v>1+0,00149116577307792i</v>
      </c>
      <c r="U36" s="4">
        <f t="shared" si="65"/>
        <v>1.00000111178706</v>
      </c>
      <c r="V36" s="4">
        <f t="shared" si="66"/>
        <v>0.00149116466783957</v>
      </c>
      <c r="W36" t="str">
        <f t="shared" si="53"/>
        <v>1-0,000707965609383649i</v>
      </c>
      <c r="X36" s="4">
        <f t="shared" si="67"/>
        <v>1.00000025060762</v>
      </c>
      <c r="Y36" s="4">
        <f t="shared" si="68"/>
        <v>-0.000707965491102618</v>
      </c>
      <c r="Z36" t="str">
        <f t="shared" si="54"/>
        <v>0,999999998129904+0,00121358773985457i</v>
      </c>
      <c r="AA36" s="4">
        <f t="shared" si="69"/>
        <v>1.00000073452724</v>
      </c>
      <c r="AB36" s="4">
        <f t="shared" si="70"/>
        <v>0.00121358714633589</v>
      </c>
      <c r="AC36" s="67" t="str">
        <f t="shared" si="71"/>
        <v>94,5291863329539-12,0412248474327i</v>
      </c>
      <c r="AD36" s="68">
        <f t="shared" si="72"/>
        <v>39.5812210985973</v>
      </c>
      <c r="AE36" s="31">
        <f t="shared" si="73"/>
        <v>-7.25930074319802</v>
      </c>
      <c r="AF36" s="32" t="str">
        <f t="shared" si="74"/>
        <v>236,914774604583</v>
      </c>
      <c r="AG36" s="32" t="str">
        <f t="shared" si="55"/>
        <v>1+0,0313483713658425i</v>
      </c>
      <c r="AH36" s="32">
        <f t="shared" si="75"/>
        <v>1.0004912395355</v>
      </c>
      <c r="AI36" s="32">
        <f t="shared" si="76"/>
        <v>0.0313381085219169</v>
      </c>
      <c r="AJ36" s="32" t="str">
        <f t="shared" si="56"/>
        <v>1+0,00149116577307792i</v>
      </c>
      <c r="AK36" s="32">
        <f t="shared" si="77"/>
        <v>1.00000111178706</v>
      </c>
      <c r="AL36" s="32">
        <f t="shared" si="78"/>
        <v>0.00149116466783957</v>
      </c>
      <c r="AM36" s="32" t="str">
        <f t="shared" si="57"/>
        <v>1-0,0000708832490289808i</v>
      </c>
      <c r="AN36" s="32">
        <f t="shared" si="79"/>
        <v>1.00000000251222</v>
      </c>
      <c r="AO36" s="32">
        <f t="shared" si="80"/>
        <v>-7.08832489102647e-5</v>
      </c>
      <c r="AP36" s="30" t="str">
        <f t="shared" si="81"/>
        <v>236,692745145376-7,08344616035808i</v>
      </c>
      <c r="AQ36" s="32">
        <f t="shared" si="82"/>
        <v>47.4875867793577</v>
      </c>
      <c r="AR36" s="31">
        <f t="shared" si="83"/>
        <v>-1.7141652252033</v>
      </c>
      <c r="AS36" t="str">
        <f t="shared" si="58"/>
        <v>-0,000272527472527473</v>
      </c>
      <c r="AT36" t="str">
        <f t="shared" si="59"/>
        <v>0,0000213689380874112i</v>
      </c>
      <c r="AU36">
        <f t="shared" si="84"/>
        <v>2.13689380874112e-5</v>
      </c>
      <c r="AV36">
        <f t="shared" si="85"/>
        <v>1.5707963267949</v>
      </c>
      <c r="AW36" t="str">
        <f t="shared" si="60"/>
        <v>1+0,00109405043555989i</v>
      </c>
      <c r="AX36">
        <f t="shared" si="86"/>
        <v>1.000000598473</v>
      </c>
      <c r="AY36">
        <f t="shared" si="87"/>
        <v>0.00109404999905364</v>
      </c>
      <c r="AZ36" t="str">
        <f t="shared" si="61"/>
        <v>1+0,0523049218872993i</v>
      </c>
      <c r="BA36">
        <f t="shared" si="88"/>
        <v>1.00136696812589</v>
      </c>
      <c r="BB36">
        <f t="shared" si="89"/>
        <v>0.0522573013448104</v>
      </c>
      <c r="BC36" s="30" t="str">
        <f t="shared" si="90"/>
        <v>-0,653114001293697+12,7541546690959i</v>
      </c>
      <c r="BD36" s="32">
        <f t="shared" si="91"/>
        <v>22.1244069827221</v>
      </c>
      <c r="BE36" s="31">
        <f t="shared" si="92"/>
        <v>92.9314383682789</v>
      </c>
      <c r="BF36" s="30" t="str">
        <f t="shared" si="93"/>
        <v>91,8373089845643+1213,50415577486i</v>
      </c>
      <c r="BG36" s="68">
        <f t="shared" si="94"/>
        <v>61.7056280813194</v>
      </c>
      <c r="BH36" s="31">
        <f t="shared" si="95"/>
        <v>85.6721376250809</v>
      </c>
      <c r="BI36" s="30" t="str">
        <f t="shared" si="96"/>
        <v>-64,2439779396654+3023,44217850176i</v>
      </c>
      <c r="BJ36" s="68">
        <f t="shared" si="97"/>
        <v>69.6119937620798</v>
      </c>
      <c r="BK36" s="31">
        <f t="shared" si="98"/>
        <v>91.2172731430756</v>
      </c>
      <c r="BL36" s="32">
        <f t="shared" si="99"/>
        <v>61.7056280813194</v>
      </c>
      <c r="BM36" s="31">
        <f t="shared" si="100"/>
        <v>85.6721376250809</v>
      </c>
      <c r="BO36">
        <f t="shared" si="101"/>
        <v>0</v>
      </c>
      <c r="BP36">
        <f t="shared" si="102"/>
        <v>0</v>
      </c>
    </row>
    <row r="37" spans="1:68">
      <c r="B37" s="12"/>
      <c r="C37" t="s">
        <v>492</v>
      </c>
      <c r="E37" t="s">
        <v>493</v>
      </c>
      <c r="N37" s="7">
        <v>19</v>
      </c>
      <c r="O37" s="18">
        <f t="shared" si="62"/>
        <v>15.4881661891248</v>
      </c>
      <c r="P37" s="86" t="str">
        <f t="shared" si="50"/>
        <v>96,0576923076923</v>
      </c>
      <c r="Q37" s="4" t="str">
        <f t="shared" si="51"/>
        <v>1+0,12990057780201i</v>
      </c>
      <c r="R37" s="4">
        <f t="shared" si="63"/>
        <v>1.00840178506055</v>
      </c>
      <c r="S37" s="4">
        <f t="shared" si="64"/>
        <v>0.129177232918874</v>
      </c>
      <c r="T37" s="4" t="str">
        <f t="shared" si="52"/>
        <v>1+0,00152589948591954i</v>
      </c>
      <c r="U37" s="4">
        <f t="shared" si="65"/>
        <v>1.00000116418394</v>
      </c>
      <c r="V37" s="4">
        <f t="shared" si="66"/>
        <v>0.00152589830163538</v>
      </c>
      <c r="W37" t="str">
        <f t="shared" si="53"/>
        <v>1-0,00072445624685806i</v>
      </c>
      <c r="X37" s="4">
        <f t="shared" si="67"/>
        <v>1.00000026241839</v>
      </c>
      <c r="Y37" s="4">
        <f t="shared" si="68"/>
        <v>-0.000724456120117654</v>
      </c>
      <c r="Z37" t="str">
        <f t="shared" si="54"/>
        <v>0,999999998041769+0,00124185582971102i</v>
      </c>
      <c r="AA37" s="4">
        <f t="shared" si="69"/>
        <v>1.00000076914442</v>
      </c>
      <c r="AB37" s="4">
        <f t="shared" si="70"/>
        <v>0.00124185519374432</v>
      </c>
      <c r="AC37" s="67" t="str">
        <f t="shared" si="71"/>
        <v>94,4583454457554-12,3124987356885i</v>
      </c>
      <c r="AD37" s="68">
        <f t="shared" si="72"/>
        <v>39.5779765733896</v>
      </c>
      <c r="AE37" s="31">
        <f t="shared" si="73"/>
        <v>-7.42654406227314</v>
      </c>
      <c r="AF37" s="32" t="str">
        <f t="shared" si="74"/>
        <v>236,914774604583</v>
      </c>
      <c r="AG37" s="32" t="str">
        <f t="shared" si="55"/>
        <v>1+0,0320785687380812i</v>
      </c>
      <c r="AH37" s="32">
        <f t="shared" si="75"/>
        <v>1.00051438499018</v>
      </c>
      <c r="AI37" s="32">
        <f t="shared" si="76"/>
        <v>0.0320675722080153</v>
      </c>
      <c r="AJ37" s="32" t="str">
        <f t="shared" si="56"/>
        <v>1+0,00152589948591954i</v>
      </c>
      <c r="AK37" s="32">
        <f t="shared" si="77"/>
        <v>1.00000116418394</v>
      </c>
      <c r="AL37" s="32">
        <f t="shared" si="78"/>
        <v>0.00152589830163538</v>
      </c>
      <c r="AM37" s="32" t="str">
        <f t="shared" si="57"/>
        <v>1-0,0000725343320014474i</v>
      </c>
      <c r="AN37" s="32">
        <f t="shared" si="79"/>
        <v>1.00000000263061</v>
      </c>
      <c r="AO37" s="32">
        <f t="shared" si="80"/>
        <v>-7.25343318742408e-5</v>
      </c>
      <c r="AP37" s="30" t="str">
        <f t="shared" si="81"/>
        <v>236,682291976012-7,24810549438043i</v>
      </c>
      <c r="AQ37" s="32">
        <f t="shared" si="82"/>
        <v>47.4873862976681</v>
      </c>
      <c r="AR37" s="31">
        <f t="shared" si="83"/>
        <v>-1.75406492518659</v>
      </c>
      <c r="AS37" t="str">
        <f t="shared" si="58"/>
        <v>-0,000272527472527473</v>
      </c>
      <c r="AT37" t="str">
        <f t="shared" si="59"/>
        <v>0,0000218666845973291i</v>
      </c>
      <c r="AU37">
        <f t="shared" si="84"/>
        <v>2.18666845973291e-5</v>
      </c>
      <c r="AV37">
        <f t="shared" si="85"/>
        <v>1.5707963267949</v>
      </c>
      <c r="AW37" t="str">
        <f t="shared" si="60"/>
        <v>1+0,00111953414391014i</v>
      </c>
      <c r="AX37">
        <f t="shared" si="86"/>
        <v>1.00000062667815</v>
      </c>
      <c r="AY37">
        <f t="shared" si="87"/>
        <v>0.00111953367618529</v>
      </c>
      <c r="AZ37" t="str">
        <f t="shared" si="61"/>
        <v>1+0,0535232600290655i</v>
      </c>
      <c r="BA37">
        <f t="shared" si="88"/>
        <v>1.00143134530738</v>
      </c>
      <c r="BB37">
        <f t="shared" si="89"/>
        <v>0.0534722376366077</v>
      </c>
      <c r="BC37" s="30" t="str">
        <f t="shared" si="90"/>
        <v>-0,653113964451359+12,4638675731017i</v>
      </c>
      <c r="BD37" s="32">
        <f t="shared" si="91"/>
        <v>21.9249651295516</v>
      </c>
      <c r="BE37" s="31">
        <f t="shared" si="92"/>
        <v>92.99958898303</v>
      </c>
      <c r="BF37" s="30" t="str">
        <f t="shared" si="93"/>
        <v>91,7692892660103+1185,35777367176i</v>
      </c>
      <c r="BG37" s="68">
        <f t="shared" si="94"/>
        <v>61.5029417029411</v>
      </c>
      <c r="BH37" s="31">
        <f t="shared" si="95"/>
        <v>85.5730449207569</v>
      </c>
      <c r="BI37" s="30" t="str">
        <f t="shared" si="96"/>
        <v>-64,2410829900588+2954,7105830014i</v>
      </c>
      <c r="BJ37" s="68">
        <f t="shared" si="97"/>
        <v>69.4123514272196</v>
      </c>
      <c r="BK37" s="31">
        <f t="shared" si="98"/>
        <v>91.2455240578435</v>
      </c>
      <c r="BL37" s="32">
        <f t="shared" si="99"/>
        <v>61.5029417029411</v>
      </c>
      <c r="BM37" s="31">
        <f t="shared" si="100"/>
        <v>85.5730449207569</v>
      </c>
      <c r="BO37">
        <f t="shared" si="101"/>
        <v>0</v>
      </c>
      <c r="BP37">
        <f t="shared" si="102"/>
        <v>0</v>
      </c>
    </row>
    <row r="38" spans="1:68">
      <c r="A38" t="s">
        <v>494</v>
      </c>
      <c r="B38" s="89">
        <f>((VOUT/IOUT)*((1-DC_VIN_Var)^2))/(Lm*DC_VIN_Var)</f>
        <v>134328.358208955</v>
      </c>
      <c r="C38" t="s">
        <v>324</v>
      </c>
      <c r="E38" t="s">
        <v>495</v>
      </c>
      <c r="N38" s="7">
        <v>20</v>
      </c>
      <c r="O38" s="18">
        <f t="shared" si="62"/>
        <v>15.8489319246111</v>
      </c>
      <c r="P38" s="86" t="str">
        <f t="shared" si="50"/>
        <v>96,0576923076923</v>
      </c>
      <c r="Q38" s="4" t="str">
        <f t="shared" si="51"/>
        <v>1+0,132926350958018i</v>
      </c>
      <c r="R38" s="4">
        <f t="shared" si="63"/>
        <v>1.00879602238461</v>
      </c>
      <c r="S38" s="4">
        <f t="shared" si="64"/>
        <v>0.132151637484146</v>
      </c>
      <c r="T38" s="4" t="str">
        <f t="shared" si="52"/>
        <v>1+0,00156144225086627i</v>
      </c>
      <c r="U38" s="4">
        <f t="shared" si="65"/>
        <v>1.00000121905021</v>
      </c>
      <c r="V38" s="4">
        <f t="shared" si="66"/>
        <v>0.00156144098188302</v>
      </c>
      <c r="W38" t="str">
        <f t="shared" si="53"/>
        <v>1-0,000741331000623867i</v>
      </c>
      <c r="X38" s="4">
        <f t="shared" si="67"/>
        <v>1.00000027478579</v>
      </c>
      <c r="Y38" s="4">
        <f t="shared" si="68"/>
        <v>-0.000741330864819077</v>
      </c>
      <c r="Z38" t="str">
        <f t="shared" si="54"/>
        <v>0,99999999794948+0,00127078236796628i</v>
      </c>
      <c r="AA38" s="4">
        <f t="shared" si="69"/>
        <v>1.00000080539307</v>
      </c>
      <c r="AB38" s="4">
        <f t="shared" si="70"/>
        <v>0.00127078168651571</v>
      </c>
      <c r="AC38" s="67" t="str">
        <f t="shared" si="71"/>
        <v>94,3842792561152-12,5894483286057i</v>
      </c>
      <c r="AD38" s="68">
        <f t="shared" si="72"/>
        <v>39.5745817347945</v>
      </c>
      <c r="AE38" s="31">
        <f t="shared" si="73"/>
        <v>-7.59755266246049</v>
      </c>
      <c r="AF38" s="32" t="str">
        <f t="shared" si="74"/>
        <v>236,914774604583</v>
      </c>
      <c r="AG38" s="32" t="str">
        <f t="shared" si="55"/>
        <v>1+0,0328257745920749i</v>
      </c>
      <c r="AH38" s="32">
        <f t="shared" si="75"/>
        <v>1.00053862068266</v>
      </c>
      <c r="AI38" s="32">
        <f t="shared" si="76"/>
        <v>0.032813991940378</v>
      </c>
      <c r="AJ38" s="32" t="str">
        <f t="shared" si="56"/>
        <v>1+0,00156144225086627i</v>
      </c>
      <c r="AK38" s="32">
        <f t="shared" si="77"/>
        <v>1.00000121905021</v>
      </c>
      <c r="AL38" s="32">
        <f t="shared" si="78"/>
        <v>0.00156144098188302</v>
      </c>
      <c r="AM38" s="32" t="str">
        <f t="shared" si="57"/>
        <v>1-0,0000742238736368466i</v>
      </c>
      <c r="AN38" s="32">
        <f t="shared" si="79"/>
        <v>1.00000000275459</v>
      </c>
      <c r="AO38" s="32">
        <f t="shared" si="80"/>
        <v>-7.42238735005423e-5</v>
      </c>
      <c r="AP38" s="30" t="str">
        <f t="shared" si="81"/>
        <v>236,67134720062-7,41657628898114i</v>
      </c>
      <c r="AQ38" s="32">
        <f t="shared" si="82"/>
        <v>47.4871763775315</v>
      </c>
      <c r="AR38" s="31">
        <f t="shared" si="83"/>
        <v>-1.79489198362999</v>
      </c>
      <c r="AS38" t="str">
        <f t="shared" si="58"/>
        <v>-0,000272527472527473</v>
      </c>
      <c r="AT38" t="str">
        <f t="shared" si="59"/>
        <v>0,0000223760251128604i</v>
      </c>
      <c r="AU38">
        <f t="shared" si="84"/>
        <v>2.23760251128604e-5</v>
      </c>
      <c r="AV38">
        <f t="shared" si="85"/>
        <v>1.5707963267949</v>
      </c>
      <c r="AW38" t="str">
        <f t="shared" si="60"/>
        <v>1+0,00114561144408228i</v>
      </c>
      <c r="AX38">
        <f t="shared" si="86"/>
        <v>1.00000065621258</v>
      </c>
      <c r="AY38">
        <f t="shared" si="87"/>
        <v>0.00114561094290609</v>
      </c>
      <c r="AZ38" t="str">
        <f t="shared" si="61"/>
        <v>1+0,0547699769117632i</v>
      </c>
      <c r="BA38">
        <f t="shared" si="88"/>
        <v>1.00149875205659</v>
      </c>
      <c r="BB38">
        <f t="shared" si="89"/>
        <v>0.0547153098510857</v>
      </c>
      <c r="BC38" s="30" t="str">
        <f t="shared" si="90"/>
        <v>-0,653113925872697+12,1801889846697i</v>
      </c>
      <c r="BD38" s="32">
        <f t="shared" si="91"/>
        <v>21.7255495040908</v>
      </c>
      <c r="BE38" s="31">
        <f t="shared" si="92"/>
        <v>93.0693176572253</v>
      </c>
      <c r="BF38" s="30" t="str">
        <f t="shared" si="93"/>
        <v>91,6981726895252+1157,84070254379i</v>
      </c>
      <c r="BG38" s="68">
        <f t="shared" si="94"/>
        <v>61.3001312388853</v>
      </c>
      <c r="BH38" s="31">
        <f t="shared" si="95"/>
        <v>85.4717649947648</v>
      </c>
      <c r="BI38" s="30" t="str">
        <f t="shared" si="96"/>
        <v>-64,2380518927665+2887,54560541656i</v>
      </c>
      <c r="BJ38" s="68">
        <f t="shared" si="97"/>
        <v>69.2127258816224</v>
      </c>
      <c r="BK38" s="31">
        <f t="shared" si="98"/>
        <v>91.2744256735953</v>
      </c>
      <c r="BL38" s="32">
        <f t="shared" si="99"/>
        <v>61.3001312388853</v>
      </c>
      <c r="BM38" s="31">
        <f t="shared" si="100"/>
        <v>85.4717649947648</v>
      </c>
      <c r="BO38">
        <f t="shared" si="101"/>
        <v>0</v>
      </c>
      <c r="BP38">
        <f t="shared" si="102"/>
        <v>0</v>
      </c>
    </row>
    <row r="39" spans="1:68">
      <c r="B39" s="12">
        <f>wz_rhp/2*PI()</f>
        <v>211002.491659016</v>
      </c>
      <c r="C39" t="s">
        <v>111</v>
      </c>
      <c r="N39" s="7">
        <v>21</v>
      </c>
      <c r="O39" s="18">
        <f t="shared" si="62"/>
        <v>16.2181009735893</v>
      </c>
      <c r="P39" s="86" t="str">
        <f t="shared" si="50"/>
        <v>96,0576923076923</v>
      </c>
      <c r="Q39" s="4" t="str">
        <f t="shared" si="51"/>
        <v>1+0,136022603424792i</v>
      </c>
      <c r="R39" s="4">
        <f t="shared" si="63"/>
        <v>1.0092086744784</v>
      </c>
      <c r="S39" s="4">
        <f t="shared" si="64"/>
        <v>0.13519289152612</v>
      </c>
      <c r="T39" s="4" t="str">
        <f t="shared" si="52"/>
        <v>1+0,00159781291316254i</v>
      </c>
      <c r="U39" s="4">
        <f t="shared" si="65"/>
        <v>1.00000127650224</v>
      </c>
      <c r="V39" s="4">
        <f t="shared" si="66"/>
        <v>0.00159781155342258</v>
      </c>
      <c r="W39" t="str">
        <f t="shared" si="53"/>
        <v>1-0,000758598817898883i</v>
      </c>
      <c r="X39" s="4">
        <f t="shared" si="67"/>
        <v>1.00000028773604</v>
      </c>
      <c r="Y39" s="4">
        <f t="shared" si="68"/>
        <v>-0.000758598672381432</v>
      </c>
      <c r="Z39" t="str">
        <f t="shared" si="54"/>
        <v>0,999999997852842+0,00130038269185384i</v>
      </c>
      <c r="AA39" s="4">
        <f t="shared" si="69"/>
        <v>1.00000084335006</v>
      </c>
      <c r="AB39" s="4">
        <f t="shared" si="70"/>
        <v>0.00130038196166643</v>
      </c>
      <c r="AC39" s="67" t="str">
        <f t="shared" si="71"/>
        <v>94,3068464023993-12,8721616364491i</v>
      </c>
      <c r="AD39" s="68">
        <f t="shared" si="72"/>
        <v>39.5710297448033</v>
      </c>
      <c r="AE39" s="31">
        <f t="shared" si="73"/>
        <v>-7.77240514657836</v>
      </c>
      <c r="AF39" s="32" t="str">
        <f t="shared" si="74"/>
        <v>236,914774604583</v>
      </c>
      <c r="AG39" s="32" t="str">
        <f t="shared" si="55"/>
        <v>1+0,0335903851062579i</v>
      </c>
      <c r="AH39" s="32">
        <f t="shared" si="75"/>
        <v>1.00056399793896</v>
      </c>
      <c r="AI39" s="32">
        <f t="shared" si="76"/>
        <v>0.0335777601518284</v>
      </c>
      <c r="AJ39" s="32" t="str">
        <f t="shared" si="56"/>
        <v>1+0,00159781291316254i</v>
      </c>
      <c r="AK39" s="32">
        <f t="shared" si="77"/>
        <v>1.00000127650224</v>
      </c>
      <c r="AL39" s="32">
        <f t="shared" si="78"/>
        <v>0.00159781155342258</v>
      </c>
      <c r="AM39" s="32" t="str">
        <f t="shared" si="57"/>
        <v>1-0,0000759527697525174i</v>
      </c>
      <c r="AN39" s="32">
        <f t="shared" si="79"/>
        <v>1.00000000288441</v>
      </c>
      <c r="AO39" s="32">
        <f t="shared" si="80"/>
        <v>-7.59527696064647e-5</v>
      </c>
      <c r="AP39" s="30" t="str">
        <f t="shared" si="81"/>
        <v>236,659887750373-7,58894561588311i</v>
      </c>
      <c r="AQ39" s="32">
        <f t="shared" si="82"/>
        <v>47.4869565750879</v>
      </c>
      <c r="AR39" s="31">
        <f t="shared" si="83"/>
        <v>-1.83666785687475</v>
      </c>
      <c r="AS39" t="str">
        <f t="shared" si="58"/>
        <v>-0,000272527472527473</v>
      </c>
      <c r="AT39" t="str">
        <f t="shared" si="59"/>
        <v>0,0000228972296930883i</v>
      </c>
      <c r="AU39">
        <f t="shared" si="84"/>
        <v>2.28972296930883e-5</v>
      </c>
      <c r="AV39">
        <f t="shared" si="85"/>
        <v>1.5707963267949</v>
      </c>
      <c r="AW39" t="str">
        <f t="shared" si="60"/>
        <v>1+0,00117229616260603i</v>
      </c>
      <c r="AX39">
        <f t="shared" si="86"/>
        <v>1.00000068713891</v>
      </c>
      <c r="AY39">
        <f t="shared" si="87"/>
        <v>0.00117229562558608</v>
      </c>
      <c r="AZ39" t="str">
        <f t="shared" si="61"/>
        <v>1+0,056045733561186i</v>
      </c>
      <c r="BA39">
        <f t="shared" si="88"/>
        <v>1.00156933072574</v>
      </c>
      <c r="BB39">
        <f t="shared" si="89"/>
        <v>0.0559871617062321</v>
      </c>
      <c r="BC39" s="30" t="str">
        <f t="shared" si="90"/>
        <v>-0,653113885475882+11,9029684936569i</v>
      </c>
      <c r="BD39" s="32">
        <f t="shared" si="91"/>
        <v>21.5261613350135</v>
      </c>
      <c r="BE39" s="31">
        <f t="shared" si="92"/>
        <v>93.1406604809958</v>
      </c>
      <c r="BF39" s="30" t="str">
        <f t="shared" si="93"/>
        <v>91,6238235230645+1130,93840896475i</v>
      </c>
      <c r="BG39" s="68">
        <f t="shared" si="94"/>
        <v>61.0971910798167</v>
      </c>
      <c r="BH39" s="31">
        <f t="shared" si="95"/>
        <v>85.3682553344175</v>
      </c>
      <c r="BI39" s="30" t="str">
        <f t="shared" si="96"/>
        <v>-64,2348782589999+2821,91163336292i</v>
      </c>
      <c r="BJ39" s="68">
        <f t="shared" si="97"/>
        <v>69.0131179101013</v>
      </c>
      <c r="BK39" s="31">
        <f t="shared" si="98"/>
        <v>91.3039926241211</v>
      </c>
      <c r="BL39" s="32">
        <f t="shared" si="99"/>
        <v>61.0971910798167</v>
      </c>
      <c r="BM39" s="31">
        <f t="shared" si="100"/>
        <v>85.3682553344175</v>
      </c>
      <c r="BO39">
        <f t="shared" si="101"/>
        <v>0</v>
      </c>
      <c r="BP39">
        <f t="shared" si="102"/>
        <v>0</v>
      </c>
    </row>
    <row r="40" spans="1:68">
      <c r="B40" s="12"/>
      <c r="N40" s="7">
        <v>22</v>
      </c>
      <c r="O40" s="18">
        <f t="shared" si="62"/>
        <v>16.5958690743756</v>
      </c>
      <c r="P40" s="86" t="str">
        <f t="shared" si="50"/>
        <v>96,0576923076923</v>
      </c>
      <c r="Q40" s="4" t="str">
        <f t="shared" si="51"/>
        <v>1+0,139190976876374i</v>
      </c>
      <c r="R40" s="4">
        <f t="shared" si="63"/>
        <v>1.00964059350038</v>
      </c>
      <c r="S40" s="4">
        <f t="shared" si="64"/>
        <v>0.138302382405107</v>
      </c>
      <c r="T40" s="4" t="str">
        <f t="shared" si="52"/>
        <v>1+0,00163503075701493i</v>
      </c>
      <c r="U40" s="4">
        <f t="shared" si="65"/>
        <v>1.00000133666189</v>
      </c>
      <c r="V40" s="4">
        <f t="shared" si="66"/>
        <v>0.00163502930002742</v>
      </c>
      <c r="W40" t="str">
        <f t="shared" si="53"/>
        <v>1-0,000776268854308394i</v>
      </c>
      <c r="X40" s="4">
        <f t="shared" si="67"/>
        <v>1.00000030129662</v>
      </c>
      <c r="Y40" s="4">
        <f t="shared" si="68"/>
        <v>-0.000776268698383638</v>
      </c>
      <c r="Z40" t="str">
        <f t="shared" si="54"/>
        <v>0,99999999775165+0,00133067249585722i</v>
      </c>
      <c r="AA40" s="4">
        <f t="shared" si="69"/>
        <v>1.00000088309591</v>
      </c>
      <c r="AB40" s="4">
        <f t="shared" si="70"/>
        <v>0.00133067171344735</v>
      </c>
      <c r="AC40" s="67" t="str">
        <f t="shared" si="71"/>
        <v>94,2258998454599-13,160725771455i</v>
      </c>
      <c r="AD40" s="68">
        <f t="shared" si="72"/>
        <v>39.5673134662325</v>
      </c>
      <c r="AE40" s="31">
        <f t="shared" si="73"/>
        <v>-7.95118132342867</v>
      </c>
      <c r="AF40" s="32" t="str">
        <f t="shared" si="74"/>
        <v>236,914774604583</v>
      </c>
      <c r="AG40" s="32" t="str">
        <f t="shared" si="55"/>
        <v>1+0,0343728056872457i</v>
      </c>
      <c r="AH40" s="32">
        <f t="shared" si="75"/>
        <v>1.00059057049865</v>
      </c>
      <c r="AI40" s="32">
        <f t="shared" si="76"/>
        <v>0.0343592782360409</v>
      </c>
      <c r="AJ40" s="32" t="str">
        <f t="shared" si="56"/>
        <v>1+0,00163503075701493i</v>
      </c>
      <c r="AK40" s="32">
        <f t="shared" si="77"/>
        <v>1.00000133666189</v>
      </c>
      <c r="AL40" s="32">
        <f t="shared" si="78"/>
        <v>0.00163502930002742</v>
      </c>
      <c r="AM40" s="32" t="str">
        <f t="shared" si="57"/>
        <v>1-0,000077721937032065i</v>
      </c>
      <c r="AN40" s="32">
        <f t="shared" si="79"/>
        <v>1.00000000302035</v>
      </c>
      <c r="AO40" s="32">
        <f t="shared" si="80"/>
        <v>-7.77219368755667e-5</v>
      </c>
      <c r="AP40" s="30" t="str">
        <f t="shared" si="81"/>
        <v>236,647889478852-7,7653024532774i</v>
      </c>
      <c r="AQ40" s="32">
        <f t="shared" si="82"/>
        <v>47.4867264256511</v>
      </c>
      <c r="AR40" s="31">
        <f t="shared" si="83"/>
        <v>-1.8794144907276</v>
      </c>
      <c r="AS40" t="str">
        <f t="shared" si="58"/>
        <v>-0,000272527472527473</v>
      </c>
      <c r="AT40" t="str">
        <f t="shared" si="59"/>
        <v>0,00002343057468758i</v>
      </c>
      <c r="AU40">
        <f t="shared" si="84"/>
        <v>2.343057468758e-5</v>
      </c>
      <c r="AV40">
        <f t="shared" si="85"/>
        <v>1.5707963267949</v>
      </c>
      <c r="AW40" t="str">
        <f t="shared" si="60"/>
        <v>1+0,00119960244807237i</v>
      </c>
      <c r="AX40">
        <f t="shared" si="86"/>
        <v>1.00000071952276</v>
      </c>
      <c r="AY40">
        <f t="shared" si="87"/>
        <v>0.00119960187264515</v>
      </c>
      <c r="AZ40" t="str">
        <f t="shared" si="61"/>
        <v>1+0,0573512064003961i</v>
      </c>
      <c r="BA40">
        <f t="shared" si="88"/>
        <v>1.00164323033482</v>
      </c>
      <c r="BB40">
        <f t="shared" si="89"/>
        <v>0.0572884510865601</v>
      </c>
      <c r="BC40" s="30" t="str">
        <f t="shared" si="90"/>
        <v>-0,653113843175236+11,6320591140895i</v>
      </c>
      <c r="BD40" s="32">
        <f t="shared" si="91"/>
        <v>21.3268019081882</v>
      </c>
      <c r="BE40" s="31">
        <f t="shared" si="92"/>
        <v>93.213654337703</v>
      </c>
      <c r="BF40" s="30" t="str">
        <f t="shared" si="93"/>
        <v>91,5461005831725+1104,63668926824i</v>
      </c>
      <c r="BG40" s="68">
        <f t="shared" si="94"/>
        <v>60.8941153744207</v>
      </c>
      <c r="BH40" s="31">
        <f t="shared" si="95"/>
        <v>85.2624730142743</v>
      </c>
      <c r="BI40" s="30" t="str">
        <f t="shared" si="96"/>
        <v>-64,2315554015346+2757,7738661712i</v>
      </c>
      <c r="BJ40" s="68">
        <f t="shared" si="97"/>
        <v>68.8135283338393</v>
      </c>
      <c r="BK40" s="31">
        <f t="shared" si="98"/>
        <v>91.3342398469754</v>
      </c>
      <c r="BL40" s="32">
        <f t="shared" si="99"/>
        <v>60.8941153744207</v>
      </c>
      <c r="BM40" s="31">
        <f t="shared" si="100"/>
        <v>85.2624730142743</v>
      </c>
      <c r="BO40">
        <f t="shared" si="101"/>
        <v>0</v>
      </c>
      <c r="BP40">
        <f t="shared" si="102"/>
        <v>0</v>
      </c>
    </row>
    <row r="41" spans="1:68">
      <c r="A41" t="s">
        <v>443</v>
      </c>
      <c r="B41" s="89">
        <f>1/(Cout*Resr)</f>
        <v>63775.5102040816</v>
      </c>
      <c r="C41" t="s">
        <v>324</v>
      </c>
      <c r="E41" t="s">
        <v>496</v>
      </c>
      <c r="N41" s="7">
        <v>23</v>
      </c>
      <c r="O41" s="18">
        <f t="shared" si="62"/>
        <v>16.9824365246174</v>
      </c>
      <c r="P41" s="86" t="str">
        <f t="shared" si="50"/>
        <v>96,0576923076923</v>
      </c>
      <c r="Q41" s="4" t="str">
        <f t="shared" si="51"/>
        <v>1+0,142433151226306i</v>
      </c>
      <c r="R41" s="4">
        <f t="shared" si="63"/>
        <v>1.01009267028736</v>
      </c>
      <c r="S41" s="4">
        <f t="shared" si="64"/>
        <v>0.141481518164103</v>
      </c>
      <c r="T41" s="4" t="str">
        <f t="shared" si="52"/>
        <v>1+0,00167311551581687i</v>
      </c>
      <c r="U41" s="4">
        <f t="shared" si="65"/>
        <v>1.00000139965679</v>
      </c>
      <c r="V41" s="4">
        <f t="shared" si="66"/>
        <v>0.00167311395462674</v>
      </c>
      <c r="W41" t="str">
        <f t="shared" si="53"/>
        <v>1-0,000794350478739586i</v>
      </c>
      <c r="X41" s="4">
        <f t="shared" si="67"/>
        <v>1.00000031549629</v>
      </c>
      <c r="Y41" s="4">
        <f t="shared" si="68"/>
        <v>-0.000794350311663203</v>
      </c>
      <c r="Z41" t="str">
        <f t="shared" si="54"/>
        <v>0,999999997645689+0,00136166784003143i</v>
      </c>
      <c r="AA41" s="4">
        <f t="shared" si="69"/>
        <v>1.00000092471491</v>
      </c>
      <c r="AB41" s="4">
        <f t="shared" si="70"/>
        <v>0.0013616670016642</v>
      </c>
      <c r="AC41" s="67" t="str">
        <f t="shared" si="71"/>
        <v>94,1412866900372-13,4552267408683i</v>
      </c>
      <c r="AD41" s="68">
        <f t="shared" si="72"/>
        <v>39.5634254507584</v>
      </c>
      <c r="AE41" s="31">
        <f t="shared" si="73"/>
        <v>-8.1339621942728</v>
      </c>
      <c r="AF41" s="32" t="str">
        <f t="shared" si="74"/>
        <v>236,914774604583</v>
      </c>
      <c r="AG41" s="32" t="str">
        <f t="shared" si="55"/>
        <v>1+0,0351734511847864i</v>
      </c>
      <c r="AH41" s="32">
        <f t="shared" si="75"/>
        <v>1.00061839462817</v>
      </c>
      <c r="AI41" s="32">
        <f t="shared" si="76"/>
        <v>0.03515895674344</v>
      </c>
      <c r="AJ41" s="32" t="str">
        <f t="shared" si="56"/>
        <v>1+0,00167311551581687i</v>
      </c>
      <c r="AK41" s="32">
        <f t="shared" si="77"/>
        <v>1.00000139965679</v>
      </c>
      <c r="AL41" s="32">
        <f t="shared" si="78"/>
        <v>0.00167311395462674</v>
      </c>
      <c r="AM41" s="32" t="str">
        <f t="shared" si="57"/>
        <v>1-0,0000795323135113978i</v>
      </c>
      <c r="AN41" s="32">
        <f t="shared" si="79"/>
        <v>1.00000000316269</v>
      </c>
      <c r="AO41" s="32">
        <f t="shared" si="80"/>
        <v>-7.95323133437069e-5</v>
      </c>
      <c r="AP41" s="30" t="str">
        <f t="shared" si="81"/>
        <v>236,635327112185-7,94573772158854i</v>
      </c>
      <c r="AQ41" s="32">
        <f t="shared" si="82"/>
        <v>47.4864854427367</v>
      </c>
      <c r="AR41" s="31">
        <f t="shared" si="83"/>
        <v>-1.92315433112708</v>
      </c>
      <c r="AS41" t="str">
        <f t="shared" si="58"/>
        <v>-0,000272527472527473</v>
      </c>
      <c r="AT41" t="str">
        <f t="shared" si="59"/>
        <v>0,0000239763428829114i</v>
      </c>
      <c r="AU41">
        <f t="shared" si="84"/>
        <v>2.39763428829114e-5</v>
      </c>
      <c r="AV41">
        <f t="shared" si="85"/>
        <v>1.5707963267949</v>
      </c>
      <c r="AW41" t="str">
        <f t="shared" si="60"/>
        <v>1+0,00122754477863529i</v>
      </c>
      <c r="AX41">
        <f t="shared" si="86"/>
        <v>1.00000075343281</v>
      </c>
      <c r="AY41">
        <f t="shared" si="87"/>
        <v>0.00122754416205394</v>
      </c>
      <c r="AZ41" t="str">
        <f t="shared" si="61"/>
        <v>1+0,0586870876083722i</v>
      </c>
      <c r="BA41">
        <f t="shared" si="88"/>
        <v>1.00172060688196</v>
      </c>
      <c r="BB41">
        <f t="shared" si="89"/>
        <v>0.0586198503145956</v>
      </c>
      <c r="BC41" s="30" t="str">
        <f t="shared" si="90"/>
        <v>-0,653113798881021+11,3673172062282i</v>
      </c>
      <c r="BD41" s="32">
        <f t="shared" si="91"/>
        <v>21.127472569306</v>
      </c>
      <c r="BE41" s="31">
        <f t="shared" si="92"/>
        <v>93.2883369190633</v>
      </c>
      <c r="BF41" s="30" t="str">
        <f t="shared" si="93"/>
        <v>91,4648570634965+1078,92166225966i</v>
      </c>
      <c r="BG41" s="68">
        <f t="shared" si="94"/>
        <v>60.6908980200645</v>
      </c>
      <c r="BH41" s="31">
        <f t="shared" si="95"/>
        <v>85.1543747247906</v>
      </c>
      <c r="BI41" s="30" t="str">
        <f t="shared" si="96"/>
        <v>-64,2280763209023+2695,09829643204i</v>
      </c>
      <c r="BJ41" s="68">
        <f t="shared" si="97"/>
        <v>68.6139580120427</v>
      </c>
      <c r="BK41" s="31">
        <f t="shared" si="98"/>
        <v>91.3651825879362</v>
      </c>
      <c r="BL41" s="32">
        <f t="shared" si="99"/>
        <v>60.6908980200645</v>
      </c>
      <c r="BM41" s="31">
        <f t="shared" si="100"/>
        <v>85.1543747247906</v>
      </c>
      <c r="BO41">
        <f t="shared" si="101"/>
        <v>0</v>
      </c>
      <c r="BP41">
        <f t="shared" si="102"/>
        <v>0</v>
      </c>
    </row>
    <row r="42" customFormat="1" spans="1:68">
      <c r="B42" s="89"/>
      <c r="N42" s="7">
        <v>24</v>
      </c>
      <c r="O42" s="18">
        <f t="shared" si="62"/>
        <v>17.3780082874938</v>
      </c>
      <c r="P42" s="86" t="str">
        <f t="shared" si="50"/>
        <v>96,0576923076923</v>
      </c>
      <c r="Q42" s="4" t="str">
        <f t="shared" si="51"/>
        <v>1+0,145750845518344i</v>
      </c>
      <c r="R42" s="4">
        <f t="shared" si="63"/>
        <v>1.01056583603905</v>
      </c>
      <c r="S42" s="4">
        <f t="shared" si="64"/>
        <v>0.14473172723853</v>
      </c>
      <c r="T42" s="4" t="str">
        <f t="shared" si="52"/>
        <v>1+0,00171208738261161i</v>
      </c>
      <c r="U42" s="4">
        <f t="shared" si="65"/>
        <v>1.00000146562053</v>
      </c>
      <c r="V42" s="4">
        <f t="shared" si="66"/>
        <v>0.00171208570976638</v>
      </c>
      <c r="W42" t="str">
        <f t="shared" si="53"/>
        <v>1-0,000812853278309084i</v>
      </c>
      <c r="X42" s="4">
        <f t="shared" si="67"/>
        <v>1.00000033036517</v>
      </c>
      <c r="Y42" s="4">
        <f t="shared" si="68"/>
        <v>-0.000812853099283517</v>
      </c>
      <c r="Z42" t="str">
        <f t="shared" si="54"/>
        <v>0,999999997534733+0,00139338515851824i</v>
      </c>
      <c r="AA42" s="4">
        <f t="shared" si="69"/>
        <v>1.00000096829536</v>
      </c>
      <c r="AB42" s="4">
        <f t="shared" si="70"/>
        <v>0.00139338426019161</v>
      </c>
      <c r="AC42" s="67" t="str">
        <f t="shared" si="71"/>
        <v>94,0528480054753-13,7557492246837i</v>
      </c>
      <c r="AD42" s="68">
        <f t="shared" si="72"/>
        <v>39.5593579265806</v>
      </c>
      <c r="AE42" s="31">
        <f t="shared" si="73"/>
        <v>-8.32082993637416</v>
      </c>
      <c r="AF42" s="32" t="str">
        <f t="shared" si="74"/>
        <v>236,914774604583</v>
      </c>
      <c r="AG42" s="32" t="str">
        <f t="shared" si="55"/>
        <v>1+0,0359927461117213i</v>
      </c>
      <c r="AH42" s="32">
        <f t="shared" si="75"/>
        <v>1.00064752923927</v>
      </c>
      <c r="AI42" s="32">
        <f t="shared" si="76"/>
        <v>0.0359772155807549</v>
      </c>
      <c r="AJ42" s="32" t="str">
        <f t="shared" si="56"/>
        <v>1+0,00171208738261161i</v>
      </c>
      <c r="AK42" s="32">
        <f t="shared" si="77"/>
        <v>1.00000146562053</v>
      </c>
      <c r="AL42" s="32">
        <f t="shared" si="78"/>
        <v>0.00171208570976638</v>
      </c>
      <c r="AM42" s="32" t="str">
        <f t="shared" si="57"/>
        <v>1-0,0000813848590760896i</v>
      </c>
      <c r="AN42" s="32">
        <f t="shared" si="79"/>
        <v>1.00000000331175</v>
      </c>
      <c r="AO42" s="32">
        <f t="shared" si="80"/>
        <v>-8.13848588964055e-5</v>
      </c>
      <c r="AP42" s="30" t="str">
        <f t="shared" si="81"/>
        <v>236,622174196921-8,13034431946271i</v>
      </c>
      <c r="AQ42" s="32">
        <f t="shared" si="82"/>
        <v>47.4862331170436</v>
      </c>
      <c r="AR42" s="31">
        <f t="shared" si="83"/>
        <v>-1.96791033500632</v>
      </c>
      <c r="AS42" t="str">
        <f t="shared" si="58"/>
        <v>-0,000272527472527473</v>
      </c>
      <c r="AT42" t="str">
        <f t="shared" si="59"/>
        <v>0,0000245348236526039i</v>
      </c>
      <c r="AU42">
        <f t="shared" si="84"/>
        <v>2.45348236526039e-5</v>
      </c>
      <c r="AV42">
        <f t="shared" si="85"/>
        <v>1.5707963267949</v>
      </c>
      <c r="AW42" t="str">
        <f t="shared" si="60"/>
        <v>1+0,00125613796968833i</v>
      </c>
      <c r="AX42">
        <f t="shared" si="86"/>
        <v>1.00000078894099</v>
      </c>
      <c r="AY42">
        <f t="shared" si="87"/>
        <v>0.00125613730900954</v>
      </c>
      <c r="AZ42" t="str">
        <f t="shared" si="61"/>
        <v>1+0,0600540854870142i</v>
      </c>
      <c r="BA42">
        <f t="shared" si="88"/>
        <v>1.00180162366792</v>
      </c>
      <c r="BB42">
        <f t="shared" si="89"/>
        <v>0.0599820464245933</v>
      </c>
      <c r="BC42" s="30" t="str">
        <f t="shared" si="90"/>
        <v>-0,653113752499293+11,1086024004086i</v>
      </c>
      <c r="BD42" s="32">
        <f t="shared" si="91"/>
        <v>20.928174726625</v>
      </c>
      <c r="BE42" s="31">
        <f t="shared" si="92"/>
        <v>93.3647467403918</v>
      </c>
      <c r="BF42" s="30" t="str">
        <f t="shared" si="93"/>
        <v>91,3799403626385+1053,77976211346i</v>
      </c>
      <c r="BG42" s="68">
        <f t="shared" si="94"/>
        <v>60.4875326532056</v>
      </c>
      <c r="BH42" s="31">
        <f t="shared" si="95"/>
        <v>85.0439168040176</v>
      </c>
      <c r="BI42" s="30" t="str">
        <f t="shared" si="96"/>
        <v>-64,2244336909606+2633,85169196141i</v>
      </c>
      <c r="BJ42" s="68">
        <f t="shared" si="97"/>
        <v>68.4144078436686</v>
      </c>
      <c r="BK42" s="31">
        <f t="shared" si="98"/>
        <v>91.3968364053855</v>
      </c>
      <c r="BL42" s="32">
        <f t="shared" si="99"/>
        <v>60.4875326532056</v>
      </c>
      <c r="BM42" s="31">
        <f t="shared" si="100"/>
        <v>85.0439168040176</v>
      </c>
      <c r="BO42">
        <f t="shared" si="101"/>
        <v>0</v>
      </c>
      <c r="BP42">
        <f t="shared" si="102"/>
        <v>0</v>
      </c>
    </row>
    <row r="43" customFormat="1" spans="1:68">
      <c r="B43" s="12"/>
      <c r="C43"/>
      <c r="D43"/>
      <c r="E43"/>
      <c r="F43"/>
      <c r="G43"/>
      <c r="N43" s="7">
        <v>25</v>
      </c>
      <c r="O43" s="18">
        <f t="shared" si="62"/>
        <v>17.7827941003892</v>
      </c>
      <c r="P43" s="86" t="str">
        <f t="shared" si="50"/>
        <v>96,0576923076923</v>
      </c>
      <c r="Q43" s="4" t="str">
        <f t="shared" si="51"/>
        <v>1+0,149145818837915i</v>
      </c>
      <c r="R43" s="4">
        <f t="shared" si="63"/>
        <v>1.01106106406924</v>
      </c>
      <c r="S43" s="4">
        <f t="shared" si="64"/>
        <v>0.148054458110972</v>
      </c>
      <c r="T43" s="4" t="str">
        <f t="shared" si="52"/>
        <v>1+0,00175196702079875i</v>
      </c>
      <c r="U43" s="4">
        <f t="shared" si="65"/>
        <v>1.00000153469304</v>
      </c>
      <c r="V43" s="4">
        <f t="shared" si="66"/>
        <v>0.00175196522831294</v>
      </c>
      <c r="W43" t="str">
        <f t="shared" si="53"/>
        <v>1-0,000831787063446119i</v>
      </c>
      <c r="X43" s="4">
        <f t="shared" si="67"/>
        <v>1.0000003459348</v>
      </c>
      <c r="Y43" s="4">
        <f t="shared" si="68"/>
        <v>-0.000831786871616771</v>
      </c>
      <c r="Z43" t="str">
        <f t="shared" si="54"/>
        <v>0,999999997418549+0,00142584126825972i</v>
      </c>
      <c r="AA43" s="4">
        <f t="shared" si="69"/>
        <v>1.0000010139297</v>
      </c>
      <c r="AB43" s="4">
        <f t="shared" si="70"/>
        <v>0.00142584030568545</v>
      </c>
      <c r="AC43" s="67" t="str">
        <f t="shared" si="71"/>
        <v>93,9604186463509-14,0623763372989i</v>
      </c>
      <c r="AD43" s="68">
        <f t="shared" si="72"/>
        <v>39.5551027857126</v>
      </c>
      <c r="AE43" s="31">
        <f t="shared" si="73"/>
        <v>-8.51186788339257</v>
      </c>
      <c r="AF43" s="32" t="str">
        <f t="shared" si="74"/>
        <v>236,914774604583</v>
      </c>
      <c r="AG43" s="32" t="str">
        <f t="shared" si="55"/>
        <v>1+0,0368311248690645i</v>
      </c>
      <c r="AH43" s="32">
        <f t="shared" si="75"/>
        <v>1.00067803601314</v>
      </c>
      <c r="AI43" s="32">
        <f t="shared" si="76"/>
        <v>0.0368144842142426</v>
      </c>
      <c r="AJ43" s="32" t="str">
        <f t="shared" si="56"/>
        <v>1+0,00175196702079875i</v>
      </c>
      <c r="AK43" s="32">
        <f t="shared" si="77"/>
        <v>1.00000153469304</v>
      </c>
      <c r="AL43" s="32">
        <f t="shared" si="78"/>
        <v>0.00175196522831294</v>
      </c>
      <c r="AM43" s="32" t="str">
        <f t="shared" si="57"/>
        <v>1-0,0000832805559703188i</v>
      </c>
      <c r="AN43" s="32">
        <f t="shared" si="79"/>
        <v>1.00000000346783</v>
      </c>
      <c r="AO43" s="32">
        <f t="shared" si="80"/>
        <v>-8.32805557777839e-5</v>
      </c>
      <c r="AP43" s="30" t="str">
        <f t="shared" si="81"/>
        <v>236,608403045552-8,31921715994013i</v>
      </c>
      <c r="AQ43" s="32">
        <f t="shared" si="82"/>
        <v>47.4859689153903</v>
      </c>
      <c r="AR43" s="31">
        <f t="shared" si="83"/>
        <v>-2.01370598135266</v>
      </c>
      <c r="AS43" t="str">
        <f t="shared" si="58"/>
        <v>-0,000272527472527473</v>
      </c>
      <c r="AT43" t="str">
        <f t="shared" si="59"/>
        <v>0,0000251063131105535i</v>
      </c>
      <c r="AU43">
        <f t="shared" si="84"/>
        <v>2.51063131105535e-5</v>
      </c>
      <c r="AV43">
        <f t="shared" si="85"/>
        <v>1.5707963267949</v>
      </c>
      <c r="AW43" t="str">
        <f t="shared" si="60"/>
        <v>1+0,00128539718171983i</v>
      </c>
      <c r="AX43">
        <f t="shared" si="86"/>
        <v>1.00000082612262</v>
      </c>
      <c r="AY43">
        <f t="shared" si="87"/>
        <v>0.00128539647378978</v>
      </c>
      <c r="AZ43" t="str">
        <f t="shared" si="61"/>
        <v>1+0,0614529248366907i</v>
      </c>
      <c r="BA43">
        <f t="shared" si="88"/>
        <v>1.00188645163561</v>
      </c>
      <c r="BB43">
        <f t="shared" si="89"/>
        <v>0.0613757414382394</v>
      </c>
      <c r="BC43" s="30" t="str">
        <f t="shared" si="90"/>
        <v>-0,65311370393167+10,855777522616i</v>
      </c>
      <c r="BD43" s="32">
        <f t="shared" si="91"/>
        <v>20.7289098538379</v>
      </c>
      <c r="BE43" s="31">
        <f t="shared" si="92"/>
        <v>93.4429231559482</v>
      </c>
      <c r="BF43" s="30" t="str">
        <f t="shared" si="93"/>
        <v>91,2911919119279+1029,19773145238i</v>
      </c>
      <c r="BG43" s="68">
        <f t="shared" si="94"/>
        <v>60.2840126395506</v>
      </c>
      <c r="BH43" s="31">
        <f t="shared" si="95"/>
        <v>84.9310552725556</v>
      </c>
      <c r="BI43" s="30" t="str">
        <f t="shared" si="96"/>
        <v>-64,2206198437985+2574,00157817711i</v>
      </c>
      <c r="BJ43" s="68">
        <f t="shared" si="97"/>
        <v>68.2148787692282</v>
      </c>
      <c r="BK43" s="31">
        <f t="shared" si="98"/>
        <v>91.4292171745955</v>
      </c>
      <c r="BL43" s="32">
        <f t="shared" si="99"/>
        <v>60.2840126395506</v>
      </c>
      <c r="BM43" s="31">
        <f t="shared" si="100"/>
        <v>84.9310552725556</v>
      </c>
      <c r="BO43">
        <f t="shared" si="101"/>
        <v>0</v>
      </c>
      <c r="BP43">
        <f t="shared" si="102"/>
        <v>0</v>
      </c>
    </row>
    <row r="44" customFormat="1" spans="1:68">
      <c r="A44" t="s">
        <v>497</v>
      </c>
      <c r="B44" s="12">
        <f>(Isl*(Rsl_int+R_sl)*Fsw)</f>
        <v>60200</v>
      </c>
      <c r="C44" t="s">
        <v>244</v>
      </c>
      <c r="E44" t="s">
        <v>320</v>
      </c>
      <c r="N44" s="7">
        <v>26</v>
      </c>
      <c r="O44" s="18">
        <f t="shared" si="62"/>
        <v>18.1970085860998</v>
      </c>
      <c r="P44" s="86" t="str">
        <f t="shared" si="50"/>
        <v>96,0576923076923</v>
      </c>
      <c r="Q44" s="4" t="str">
        <f t="shared" si="51"/>
        <v>1+0,152619871244814i</v>
      </c>
      <c r="R44" s="4">
        <f t="shared" si="63"/>
        <v>1.01157937162577</v>
      </c>
      <c r="S44" s="4">
        <f t="shared" si="64"/>
        <v>0.151451178906978</v>
      </c>
      <c r="T44" s="4" t="str">
        <f t="shared" si="52"/>
        <v>1+0,00179277557509035i</v>
      </c>
      <c r="U44" s="4">
        <f t="shared" si="65"/>
        <v>1.00000160702084</v>
      </c>
      <c r="V44" s="4">
        <f t="shared" si="66"/>
        <v>0.00179277365440737</v>
      </c>
      <c r="W44" t="str">
        <f t="shared" si="53"/>
        <v>1-0,000851161873094201i</v>
      </c>
      <c r="X44" s="4">
        <f t="shared" si="67"/>
        <v>1.0000003622382</v>
      </c>
      <c r="Y44" s="4">
        <f t="shared" si="68"/>
        <v>-0.000851161667545356</v>
      </c>
      <c r="Z44" t="str">
        <f t="shared" si="54"/>
        <v>0,999999997296889+0,00145905337791487i</v>
      </c>
      <c r="AA44" s="4">
        <f t="shared" si="69"/>
        <v>1.00000106171471</v>
      </c>
      <c r="AB44" s="4">
        <f t="shared" si="70"/>
        <v>0.00145905234649801</v>
      </c>
      <c r="AC44" s="67" t="str">
        <f t="shared" si="71"/>
        <v>93,8638270736819-14,3751893722749i</v>
      </c>
      <c r="AD44" s="68">
        <f t="shared" si="72"/>
        <v>39.550651570902</v>
      </c>
      <c r="AE44" s="31">
        <f t="shared" si="73"/>
        <v>-8.70716050240744</v>
      </c>
      <c r="AF44" s="32" t="str">
        <f t="shared" si="74"/>
        <v>236,914774604583</v>
      </c>
      <c r="AG44" s="32" t="str">
        <f t="shared" si="55"/>
        <v>1+0,0376890319763312i</v>
      </c>
      <c r="AH44" s="32">
        <f t="shared" si="75"/>
        <v>1.00070997953019</v>
      </c>
      <c r="AI44" s="32">
        <f t="shared" si="76"/>
        <v>0.0376712018766065</v>
      </c>
      <c r="AJ44" s="32" t="str">
        <f t="shared" si="56"/>
        <v>1+0,00179277557509035i</v>
      </c>
      <c r="AK44" s="32">
        <f t="shared" si="77"/>
        <v>1.00000160702084</v>
      </c>
      <c r="AL44" s="32">
        <f t="shared" si="78"/>
        <v>0.00179277365440737</v>
      </c>
      <c r="AM44" s="32" t="str">
        <f t="shared" si="57"/>
        <v>1-0,0000852204093176725i</v>
      </c>
      <c r="AN44" s="32">
        <f t="shared" si="79"/>
        <v>1.00000000363126</v>
      </c>
      <c r="AO44" s="32">
        <f t="shared" si="80"/>
        <v>-8.52204091113676e-5</v>
      </c>
      <c r="AP44" s="30" t="str">
        <f t="shared" si="81"/>
        <v>236,593984679568-8,51245320677193i</v>
      </c>
      <c r="AQ44" s="32">
        <f t="shared" si="82"/>
        <v>47.4856922796008</v>
      </c>
      <c r="AR44" s="31">
        <f t="shared" si="83"/>
        <v>-2.06056528246553</v>
      </c>
      <c r="AS44" t="str">
        <f t="shared" si="58"/>
        <v>-0,000272527472527473</v>
      </c>
      <c r="AT44" t="str">
        <f t="shared" si="59"/>
        <v>0,0000256911142680358i</v>
      </c>
      <c r="AU44">
        <f t="shared" si="84"/>
        <v>2.56911142680358e-5</v>
      </c>
      <c r="AV44">
        <f t="shared" si="85"/>
        <v>1.5707963267949</v>
      </c>
      <c r="AW44" t="str">
        <f t="shared" si="60"/>
        <v>1+0,00131533792835134i</v>
      </c>
      <c r="AX44">
        <f t="shared" si="86"/>
        <v>1.00000086505656</v>
      </c>
      <c r="AY44">
        <f t="shared" si="87"/>
        <v>0.00131533716979066</v>
      </c>
      <c r="AZ44" t="str">
        <f t="shared" si="61"/>
        <v>1+0,0628843473405416i</v>
      </c>
      <c r="BA44">
        <f t="shared" si="88"/>
        <v>1.00197526972498</v>
      </c>
      <c r="BB44">
        <f t="shared" si="89"/>
        <v>0.0628016526421002</v>
      </c>
      <c r="BC44" s="30" t="str">
        <f t="shared" si="90"/>
        <v>-0,653113653075133+10,6087085217532i</v>
      </c>
      <c r="BD44" s="32">
        <f t="shared" si="91"/>
        <v>20.5296794930659</v>
      </c>
      <c r="BE44" s="31">
        <f t="shared" si="92"/>
        <v>93.5229063743733</v>
      </c>
      <c r="BF44" s="30" t="str">
        <f t="shared" si="93"/>
        <v>91,1984470037638+1005,16261460551i</v>
      </c>
      <c r="BG44" s="68">
        <f t="shared" si="94"/>
        <v>60.0803310639679</v>
      </c>
      <c r="BH44" s="31">
        <f t="shared" si="95"/>
        <v>84.8157458719658</v>
      </c>
      <c r="BI44" s="30" t="str">
        <f t="shared" si="96"/>
        <v>-64,216626753968+2515,51622087619i</v>
      </c>
      <c r="BJ44" s="68">
        <f t="shared" si="97"/>
        <v>68.0153717726667</v>
      </c>
      <c r="BK44" s="31">
        <f t="shared" si="98"/>
        <v>91.4623410919077</v>
      </c>
      <c r="BL44" s="32">
        <f t="shared" si="99"/>
        <v>60.0803310639679</v>
      </c>
      <c r="BM44" s="31">
        <f t="shared" si="100"/>
        <v>84.8157458719658</v>
      </c>
      <c r="BO44">
        <f t="shared" si="101"/>
        <v>0</v>
      </c>
      <c r="BP44">
        <f t="shared" si="102"/>
        <v>0</v>
      </c>
    </row>
    <row r="45" spans="1:68">
      <c r="A45" t="s">
        <v>498</v>
      </c>
      <c r="B45" s="12">
        <f>(R_cs*VIN_var*Acs)/Lm</f>
        <v>3000</v>
      </c>
      <c r="C45" t="s">
        <v>244</v>
      </c>
      <c r="E45" t="s">
        <v>322</v>
      </c>
      <c r="N45" s="7">
        <v>27</v>
      </c>
      <c r="O45" s="18">
        <f t="shared" si="62"/>
        <v>18.6208713666287</v>
      </c>
      <c r="P45" s="86" t="str">
        <f t="shared" si="50"/>
        <v>96,0576923076923</v>
      </c>
      <c r="Q45" s="4" t="str">
        <f t="shared" si="51"/>
        <v>1+0,156174844727609i</v>
      </c>
      <c r="R45" s="4">
        <f t="shared" si="63"/>
        <v>1.0121218217812</v>
      </c>
      <c r="S45" s="4">
        <f t="shared" si="64"/>
        <v>0.154923376927761</v>
      </c>
      <c r="T45" s="4" t="str">
        <f t="shared" si="52"/>
        <v>1+0,00183453468272205i</v>
      </c>
      <c r="U45" s="4">
        <f t="shared" si="65"/>
        <v>1.00000168275734</v>
      </c>
      <c r="V45" s="4">
        <f t="shared" si="66"/>
        <v>0.00183453262467334</v>
      </c>
      <c r="W45" t="str">
        <f t="shared" si="53"/>
        <v>1-0,000870987980033856i</v>
      </c>
      <c r="X45" s="4">
        <f t="shared" si="67"/>
        <v>1.00000037930996</v>
      </c>
      <c r="Y45" s="4">
        <f t="shared" si="68"/>
        <v>-0.000870987759784305</v>
      </c>
      <c r="Z45" t="str">
        <f t="shared" si="54"/>
        <v>0,999999997169495+0,00149303909698385i</v>
      </c>
      <c r="AA45" s="4">
        <f t="shared" si="69"/>
        <v>1.00000111175175</v>
      </c>
      <c r="AB45" s="4">
        <f t="shared" si="70"/>
        <v>0.00149303799180084</v>
      </c>
      <c r="AC45" s="67" t="str">
        <f t="shared" si="71"/>
        <v>93,762895177462-14,6942675293733i</v>
      </c>
      <c r="AD45" s="68">
        <f t="shared" si="72"/>
        <v>39.5459954621795</v>
      </c>
      <c r="AE45" s="31">
        <f t="shared" si="73"/>
        <v>-8.90679336732835</v>
      </c>
      <c r="AF45" s="32" t="str">
        <f t="shared" si="74"/>
        <v>236,914774604583</v>
      </c>
      <c r="AG45" s="32" t="str">
        <f t="shared" si="55"/>
        <v>1+0,038566922307225i</v>
      </c>
      <c r="AH45" s="32">
        <f t="shared" si="75"/>
        <v>1.00074342740597</v>
      </c>
      <c r="AI45" s="32">
        <f t="shared" si="76"/>
        <v>0.0385478177776122</v>
      </c>
      <c r="AJ45" s="32" t="str">
        <f t="shared" si="56"/>
        <v>1+0,00183453468272205i</v>
      </c>
      <c r="AK45" s="32">
        <f t="shared" si="77"/>
        <v>1.00000168275734</v>
      </c>
      <c r="AL45" s="32">
        <f t="shared" si="78"/>
        <v>0.00183453262467334</v>
      </c>
      <c r="AM45" s="32" t="str">
        <f t="shared" si="57"/>
        <v>1-0,0000872054476540717i</v>
      </c>
      <c r="AN45" s="32">
        <f t="shared" si="79"/>
        <v>1.0000000038024</v>
      </c>
      <c r="AO45" s="32">
        <f t="shared" si="80"/>
        <v>-8.7205447433012e-5</v>
      </c>
      <c r="AP45" s="30" t="str">
        <f t="shared" si="81"/>
        <v>236,578888769943-8,71015151083387i</v>
      </c>
      <c r="AQ45" s="32">
        <f t="shared" si="82"/>
        <v>47.4854026253392</v>
      </c>
      <c r="AR45" s="31">
        <f t="shared" si="83"/>
        <v>-2.10851279541216</v>
      </c>
      <c r="AS45" t="str">
        <f t="shared" si="58"/>
        <v>-0,000272527472527473</v>
      </c>
      <c r="AT45" t="str">
        <f t="shared" si="59"/>
        <v>0,0000262895371943653i</v>
      </c>
      <c r="AU45">
        <f t="shared" si="84"/>
        <v>2.62895371943653e-5</v>
      </c>
      <c r="AV45">
        <f t="shared" si="85"/>
        <v>1.5707963267949</v>
      </c>
      <c r="AW45" t="str">
        <f t="shared" si="60"/>
        <v>1+0,00134597608456301i</v>
      </c>
      <c r="AX45">
        <f t="shared" si="86"/>
        <v>1.0000009058254</v>
      </c>
      <c r="AY45">
        <f t="shared" si="87"/>
        <v>0.00134597527175064</v>
      </c>
      <c r="AZ45" t="str">
        <f t="shared" si="61"/>
        <v>1+0,064349111957725i</v>
      </c>
      <c r="BA45">
        <f t="shared" si="88"/>
        <v>1.00206826524431</v>
      </c>
      <c r="BB45">
        <f t="shared" si="89"/>
        <v>0.0642605128665199</v>
      </c>
      <c r="BC45" s="30" t="str">
        <f t="shared" si="90"/>
        <v>-0,653113599821804+10,3672643985651i</v>
      </c>
      <c r="BD45" s="32">
        <f t="shared" si="91"/>
        <v>20.3304852579856</v>
      </c>
      <c r="BE45" s="31">
        <f t="shared" si="92"/>
        <v>93.6047374741974</v>
      </c>
      <c r="BF45" s="30" t="str">
        <f t="shared" si="93"/>
        <v>91,1015346211963+981,661751042547i</v>
      </c>
      <c r="BG45" s="68">
        <f t="shared" si="94"/>
        <v>59.8764807201651</v>
      </c>
      <c r="BH45" s="31">
        <f t="shared" si="95"/>
        <v>84.6979441068691</v>
      </c>
      <c r="BI45" s="30" t="str">
        <f t="shared" si="96"/>
        <v>-64,2124460220036+2458,36460940496i</v>
      </c>
      <c r="BJ45" s="68">
        <f t="shared" si="97"/>
        <v>67.8158878833248</v>
      </c>
      <c r="BK45" s="31">
        <f t="shared" si="98"/>
        <v>91.4962246787853</v>
      </c>
      <c r="BL45" s="32">
        <f t="shared" si="99"/>
        <v>59.8764807201651</v>
      </c>
      <c r="BM45" s="31">
        <f t="shared" si="100"/>
        <v>84.6979441068691</v>
      </c>
      <c r="BO45">
        <f t="shared" si="101"/>
        <v>0</v>
      </c>
      <c r="BP45">
        <f t="shared" si="102"/>
        <v>0</v>
      </c>
    </row>
    <row r="46" spans="1:68">
      <c r="B46" s="12"/>
      <c r="N46" s="7">
        <v>28</v>
      </c>
      <c r="O46" s="18">
        <f t="shared" si="62"/>
        <v>19.0546071796325</v>
      </c>
      <c r="P46" s="86" t="str">
        <f t="shared" si="50"/>
        <v>96,0576923076923</v>
      </c>
      <c r="Q46" s="4" t="str">
        <f t="shared" si="51"/>
        <v>1+0,159812624180298i</v>
      </c>
      <c r="R46" s="4">
        <f t="shared" si="63"/>
        <v>1.0126895253963</v>
      </c>
      <c r="S46" s="4">
        <f t="shared" si="64"/>
        <v>0.158472558115507</v>
      </c>
      <c r="T46" s="4" t="str">
        <f t="shared" si="52"/>
        <v>1+0,00187726648492549i</v>
      </c>
      <c r="U46" s="4">
        <f t="shared" si="65"/>
        <v>1.00000176206318</v>
      </c>
      <c r="V46" s="4">
        <f t="shared" si="66"/>
        <v>0.00187726427968678</v>
      </c>
      <c r="W46" t="str">
        <f t="shared" si="53"/>
        <v>1-0,000891275896329422i</v>
      </c>
      <c r="X46" s="4">
        <f t="shared" si="67"/>
        <v>1.00000039718628</v>
      </c>
      <c r="Y46" s="4">
        <f t="shared" si="68"/>
        <v>-0.000891275660327781</v>
      </c>
      <c r="Z46" t="str">
        <f t="shared" si="54"/>
        <v>0,999999997036098+0,00152781644514477i</v>
      </c>
      <c r="AA46" s="4">
        <f t="shared" si="69"/>
        <v>1.00000116414697</v>
      </c>
      <c r="AB46" s="4">
        <f t="shared" si="70"/>
        <v>0.00152781526091991</v>
      </c>
      <c r="AC46" s="67" t="str">
        <f t="shared" si="71"/>
        <v>93,6574381013545-15,0196876230456i</v>
      </c>
      <c r="AD46" s="68">
        <f t="shared" si="72"/>
        <v>39.5411252630429</v>
      </c>
      <c r="AE46" s="31">
        <f t="shared" si="73"/>
        <v>-9.11085312844945</v>
      </c>
      <c r="AF46" s="32" t="str">
        <f t="shared" si="74"/>
        <v>236,914774604583</v>
      </c>
      <c r="AG46" s="32" t="str">
        <f t="shared" si="55"/>
        <v>1+0,0394652613308199i</v>
      </c>
      <c r="AH46" s="32">
        <f t="shared" si="75"/>
        <v>1.00077845043342</v>
      </c>
      <c r="AI46" s="32">
        <f t="shared" si="76"/>
        <v>0.0394447913184166</v>
      </c>
      <c r="AJ46" s="32" t="str">
        <f t="shared" si="56"/>
        <v>1+0,00187726648492549i</v>
      </c>
      <c r="AK46" s="32">
        <f t="shared" si="77"/>
        <v>1.00000176206318</v>
      </c>
      <c r="AL46" s="32">
        <f t="shared" si="78"/>
        <v>0.00187726427968678</v>
      </c>
      <c r="AM46" s="32" t="str">
        <f t="shared" si="57"/>
        <v>1-0,0000892367234731184i</v>
      </c>
      <c r="AN46" s="32">
        <f t="shared" si="79"/>
        <v>1.0000000039816</v>
      </c>
      <c r="AO46" s="32">
        <f t="shared" si="80"/>
        <v>-8.92367232362487e-5</v>
      </c>
      <c r="AP46" s="30" t="str">
        <f t="shared" si="81"/>
        <v>236,563083574944-8,91241324658898i</v>
      </c>
      <c r="AQ46" s="32">
        <f t="shared" si="82"/>
        <v>47.4850993408914</v>
      </c>
      <c r="AR46" s="31">
        <f t="shared" si="83"/>
        <v>-2.15757363368184</v>
      </c>
      <c r="AS46" t="str">
        <f t="shared" si="58"/>
        <v>-0,000272527472527473</v>
      </c>
      <c r="AT46" t="str">
        <f t="shared" si="59"/>
        <v>0,0000269018991812982i</v>
      </c>
      <c r="AU46">
        <f t="shared" si="84"/>
        <v>2.69018991812982e-5</v>
      </c>
      <c r="AV46">
        <f t="shared" si="85"/>
        <v>1.5707963267949</v>
      </c>
      <c r="AW46" t="str">
        <f t="shared" si="60"/>
        <v>1+0,00137732789511083i</v>
      </c>
      <c r="AX46">
        <f t="shared" si="86"/>
        <v>1.00000094851562</v>
      </c>
      <c r="AY46">
        <f t="shared" si="87"/>
        <v>0.00137732702416673</v>
      </c>
      <c r="AZ46" t="str">
        <f t="shared" si="61"/>
        <v>1+0,0658479953258302i</v>
      </c>
      <c r="BA46">
        <f t="shared" si="88"/>
        <v>1.00216563425834</v>
      </c>
      <c r="BB46">
        <f t="shared" si="89"/>
        <v>0.0657530707656709</v>
      </c>
      <c r="BC46" s="30" t="str">
        <f t="shared" si="90"/>
        <v>-0,653113544058745+10,1313171361815i</v>
      </c>
      <c r="BD46" s="32">
        <f t="shared" si="91"/>
        <v>20.1313288370946</v>
      </c>
      <c r="BE46" s="31">
        <f t="shared" si="92"/>
        <v>93.6884584194039</v>
      </c>
      <c r="BF46" s="30" t="str">
        <f t="shared" si="93"/>
        <v>91,0002772696169+958,682768981254i</v>
      </c>
      <c r="BG46" s="68">
        <f t="shared" si="94"/>
        <v>59.6724541001376</v>
      </c>
      <c r="BH46" s="31">
        <f t="shared" si="95"/>
        <v>84.5776052909545</v>
      </c>
      <c r="BI46" s="30" t="str">
        <f t="shared" si="96"/>
        <v>-64,2080688571988+2402,51644021236i</v>
      </c>
      <c r="BJ46" s="68">
        <f t="shared" si="97"/>
        <v>67.616428177986</v>
      </c>
      <c r="BK46" s="31">
        <f t="shared" si="98"/>
        <v>91.5308847857221</v>
      </c>
      <c r="BL46" s="32">
        <f t="shared" si="99"/>
        <v>59.6724541001376</v>
      </c>
      <c r="BM46" s="31">
        <f t="shared" si="100"/>
        <v>84.5776052909545</v>
      </c>
      <c r="BO46">
        <f t="shared" si="101"/>
        <v>0</v>
      </c>
      <c r="BP46">
        <f t="shared" si="102"/>
        <v>0</v>
      </c>
    </row>
    <row r="47" spans="1:68">
      <c r="A47" t="s">
        <v>499</v>
      </c>
      <c r="B47" s="12">
        <f>2*PI()*Fsw</f>
        <v>4398229.71502571</v>
      </c>
      <c r="C47" t="s">
        <v>324</v>
      </c>
      <c r="N47" s="7">
        <v>29</v>
      </c>
      <c r="O47" s="18">
        <f t="shared" si="62"/>
        <v>19.4984459975805</v>
      </c>
      <c r="P47" s="86" t="str">
        <f t="shared" si="50"/>
        <v>96,0576923076923</v>
      </c>
      <c r="Q47" s="4" t="str">
        <f t="shared" si="51"/>
        <v>1+0,163535138401696i</v>
      </c>
      <c r="R47" s="4">
        <f t="shared" si="63"/>
        <v>1.01328364315825</v>
      </c>
      <c r="S47" s="4">
        <f t="shared" si="64"/>
        <v>0.162100246446728</v>
      </c>
      <c r="T47" s="4" t="str">
        <f t="shared" si="52"/>
        <v>1+0,00192099363866777i</v>
      </c>
      <c r="U47" s="4">
        <f t="shared" si="65"/>
        <v>1.00000184510658</v>
      </c>
      <c r="V47" s="4">
        <f t="shared" si="66"/>
        <v>0.00192099127571216</v>
      </c>
      <c r="W47" t="str">
        <f t="shared" si="53"/>
        <v>1-0,00091203637890264i</v>
      </c>
      <c r="X47" s="4">
        <f t="shared" si="67"/>
        <v>1.00000041590509</v>
      </c>
      <c r="Y47" s="4">
        <f t="shared" si="68"/>
        <v>-0.000912036126022331</v>
      </c>
      <c r="Z47" t="str">
        <f t="shared" si="54"/>
        <v>0,999999996896413+0,00156340386180793i</v>
      </c>
      <c r="AA47" s="4">
        <f t="shared" si="69"/>
        <v>1.00000121901149</v>
      </c>
      <c r="AB47" s="4">
        <f t="shared" si="70"/>
        <v>0.00156340259288822</v>
      </c>
      <c r="AC47" s="67" t="str">
        <f t="shared" si="71"/>
        <v>93,5472640704657-15,3515237715302i</v>
      </c>
      <c r="AD47" s="68">
        <f t="shared" si="72"/>
        <v>39.53603138628</v>
      </c>
      <c r="AE47" s="31">
        <f t="shared" si="73"/>
        <v>-9.31942747788514</v>
      </c>
      <c r="AF47" s="32" t="str">
        <f t="shared" si="74"/>
        <v>236,914774604583</v>
      </c>
      <c r="AG47" s="32" t="str">
        <f t="shared" si="55"/>
        <v>1+0,0403845253583564i</v>
      </c>
      <c r="AH47" s="32">
        <f t="shared" si="75"/>
        <v>1.00081512273168</v>
      </c>
      <c r="AI47" s="32">
        <f t="shared" si="76"/>
        <v>0.0403625923096063</v>
      </c>
      <c r="AJ47" s="32" t="str">
        <f t="shared" si="56"/>
        <v>1+0,00192099363866777i</v>
      </c>
      <c r="AK47" s="32">
        <f t="shared" si="77"/>
        <v>1.00000184510658</v>
      </c>
      <c r="AL47" s="32">
        <f t="shared" si="78"/>
        <v>0.00192099127571216</v>
      </c>
      <c r="AM47" s="32" t="str">
        <f t="shared" si="57"/>
        <v>1-0,000091315313784137i</v>
      </c>
      <c r="AN47" s="32">
        <f t="shared" si="79"/>
        <v>1.00000000416924</v>
      </c>
      <c r="AO47" s="32">
        <f t="shared" si="80"/>
        <v>-9.13153135303265e-5</v>
      </c>
      <c r="AP47" s="30" t="str">
        <f t="shared" si="81"/>
        <v>236,546535875162-9,11934174854316i</v>
      </c>
      <c r="AQ47" s="32">
        <f t="shared" si="82"/>
        <v>47.4847817858899</v>
      </c>
      <c r="AR47" s="31">
        <f t="shared" si="83"/>
        <v>-2.20777347903808</v>
      </c>
      <c r="AS47" t="str">
        <f t="shared" si="58"/>
        <v>-0,000272527472527473</v>
      </c>
      <c r="AT47" t="str">
        <f t="shared" si="59"/>
        <v>0,0000275285249112658i</v>
      </c>
      <c r="AU47">
        <f t="shared" si="84"/>
        <v>2.75285249112658e-5</v>
      </c>
      <c r="AV47">
        <f t="shared" si="85"/>
        <v>1.5707963267949</v>
      </c>
      <c r="AW47" t="str">
        <f t="shared" si="60"/>
        <v>1+0,0014094099831397i</v>
      </c>
      <c r="AX47">
        <f t="shared" si="86"/>
        <v>1.00000099321776</v>
      </c>
      <c r="AY47">
        <f t="shared" si="87"/>
        <v>0.00140940904990633</v>
      </c>
      <c r="AZ47" t="str">
        <f t="shared" si="61"/>
        <v>1+0,0673817921726575i</v>
      </c>
      <c r="BA47">
        <f t="shared" si="88"/>
        <v>1.00226758199415</v>
      </c>
      <c r="BB47">
        <f t="shared" si="89"/>
        <v>0.0672800910984036</v>
      </c>
      <c r="BC47" s="30" t="str">
        <f t="shared" si="90"/>
        <v>-0,653113485667652+9,90074163223996i</v>
      </c>
      <c r="BD47" s="32">
        <f t="shared" si="91"/>
        <v>19.9322119971196</v>
      </c>
      <c r="BE47" s="31">
        <f t="shared" si="92"/>
        <v>93.7741120750271</v>
      </c>
      <c r="BF47" s="30" t="str">
        <f t="shared" si="93"/>
        <v>90,8944908113763+936,213579165339i</v>
      </c>
      <c r="BG47" s="68">
        <f t="shared" si="94"/>
        <v>59.4682433833996</v>
      </c>
      <c r="BH47" s="31">
        <f t="shared" si="95"/>
        <v>84.4546845971419</v>
      </c>
      <c r="BI47" s="30" t="str">
        <f t="shared" si="96"/>
        <v>-64,2034860596101+2347,94210077775i</v>
      </c>
      <c r="BJ47" s="68">
        <f t="shared" si="97"/>
        <v>67.4169937830095</v>
      </c>
      <c r="BK47" s="31">
        <f t="shared" si="98"/>
        <v>91.566338595989</v>
      </c>
      <c r="BL47" s="32">
        <f t="shared" si="99"/>
        <v>59.4682433833996</v>
      </c>
      <c r="BM47" s="31">
        <f t="shared" si="100"/>
        <v>84.4546845971419</v>
      </c>
      <c r="BO47">
        <f t="shared" si="101"/>
        <v>0</v>
      </c>
      <c r="BP47">
        <f t="shared" si="102"/>
        <v>0</v>
      </c>
    </row>
    <row r="48" spans="1:68">
      <c r="A48" t="s">
        <v>500</v>
      </c>
      <c r="B48" s="12">
        <f>1/(PI()*(((1-DC_VIN_Var)*(1+(B44/B45)))-0.5))</f>
        <v>0.035633688177634</v>
      </c>
      <c r="N48" s="7">
        <v>30</v>
      </c>
      <c r="O48" s="18">
        <f t="shared" si="62"/>
        <v>19.9526231496888</v>
      </c>
      <c r="P48" s="86" t="str">
        <f t="shared" si="50"/>
        <v>96,0576923076923</v>
      </c>
      <c r="Q48" s="4" t="str">
        <f t="shared" si="51"/>
        <v>1+0,167344361118119i</v>
      </c>
      <c r="R48" s="4">
        <f t="shared" si="63"/>
        <v>1.01390538769553</v>
      </c>
      <c r="S48" s="4">
        <f t="shared" si="64"/>
        <v>0.165807983248947</v>
      </c>
      <c r="T48" s="4" t="str">
        <f t="shared" si="52"/>
        <v>1+0,00196573932866464i</v>
      </c>
      <c r="U48" s="4">
        <f t="shared" si="65"/>
        <v>1.00000193206369</v>
      </c>
      <c r="V48" s="4">
        <f t="shared" si="66"/>
        <v>0.00196573679671235</v>
      </c>
      <c r="W48" t="str">
        <f t="shared" si="53"/>
        <v>1-0,000933280435236187i</v>
      </c>
      <c r="X48" s="4">
        <f t="shared" si="67"/>
        <v>1.00000043550609</v>
      </c>
      <c r="Y48" s="4">
        <f t="shared" si="68"/>
        <v>-0.00093328016427006</v>
      </c>
      <c r="Z48" t="str">
        <f t="shared" si="54"/>
        <v>0,999999996750146+0,00159982021589273i</v>
      </c>
      <c r="AA48" s="4">
        <f t="shared" si="69"/>
        <v>1.00000127646169</v>
      </c>
      <c r="AB48" s="4">
        <f t="shared" si="70"/>
        <v>0.00159981885622086</v>
      </c>
      <c r="AC48" s="67" t="str">
        <f t="shared" si="71"/>
        <v>93,4321742232132-15,6898470657201i</v>
      </c>
      <c r="AD48" s="68">
        <f t="shared" si="72"/>
        <v>39.5307038394381</v>
      </c>
      <c r="AE48" s="31">
        <f t="shared" si="73"/>
        <v>-9.53260511061822</v>
      </c>
      <c r="AF48" s="32" t="str">
        <f t="shared" si="74"/>
        <v>236,914774604583</v>
      </c>
      <c r="AG48" s="32" t="str">
        <f t="shared" si="55"/>
        <v>1+0,0413252017957906i</v>
      </c>
      <c r="AH48" s="32">
        <f t="shared" si="75"/>
        <v>1.00085352190191</v>
      </c>
      <c r="AI48" s="32">
        <f t="shared" si="76"/>
        <v>0.0413017011929481</v>
      </c>
      <c r="AJ48" s="32" t="str">
        <f t="shared" si="56"/>
        <v>1+0,00196573932866464i</v>
      </c>
      <c r="AK48" s="32">
        <f t="shared" si="77"/>
        <v>1.00000193206369</v>
      </c>
      <c r="AL48" s="32">
        <f t="shared" si="78"/>
        <v>0.00196573679671235</v>
      </c>
      <c r="AM48" s="32" t="str">
        <f t="shared" si="57"/>
        <v>1-0,0000934423206832257i</v>
      </c>
      <c r="AN48" s="32">
        <f t="shared" si="79"/>
        <v>1.00000000436573</v>
      </c>
      <c r="AO48" s="32">
        <f t="shared" si="80"/>
        <v>-9.34423204112628e-5</v>
      </c>
      <c r="AP48" s="30" t="str">
        <f t="shared" si="81"/>
        <v>236,529210905612-9,33104254763477i</v>
      </c>
      <c r="AQ48" s="32">
        <f t="shared" si="82"/>
        <v>47.4844492899805</v>
      </c>
      <c r="AR48" s="31">
        <f t="shared" si="83"/>
        <v>-2.25913859356865</v>
      </c>
      <c r="AS48" t="str">
        <f t="shared" si="58"/>
        <v>-0,000272527472527473</v>
      </c>
      <c r="AT48" t="str">
        <f t="shared" si="59"/>
        <v>0,0000281697466295244i</v>
      </c>
      <c r="AU48">
        <f t="shared" si="84"/>
        <v>2.81697466295244e-5</v>
      </c>
      <c r="AV48">
        <f t="shared" si="85"/>
        <v>1.5707963267949</v>
      </c>
      <c r="AW48" t="str">
        <f t="shared" si="60"/>
        <v>1+0,00144223935899739i</v>
      </c>
      <c r="AX48">
        <f t="shared" si="86"/>
        <v>1.00000104002664</v>
      </c>
      <c r="AY48">
        <f t="shared" si="87"/>
        <v>0.00144223835901988</v>
      </c>
      <c r="AZ48" t="str">
        <f t="shared" si="61"/>
        <v>1+0,0689513157375987i</v>
      </c>
      <c r="BA48">
        <f t="shared" si="88"/>
        <v>1.00237432326549</v>
      </c>
      <c r="BB48">
        <f t="shared" si="89"/>
        <v>0.0688423550095405</v>
      </c>
      <c r="BC48" s="30" t="str">
        <f t="shared" si="90"/>
        <v>-0,653113424524689+9,67541563255596i</v>
      </c>
      <c r="BD48" s="32">
        <f t="shared" si="91"/>
        <v>19.7331365865748</v>
      </c>
      <c r="BE48" s="31">
        <f t="shared" si="92"/>
        <v>93.8617422227643</v>
      </c>
      <c r="BF48" s="30" t="str">
        <f t="shared" si="93"/>
        <v>90,7839843043704+914,24236881033i</v>
      </c>
      <c r="BG48" s="68">
        <f t="shared" si="94"/>
        <v>59.2638404260129</v>
      </c>
      <c r="BH48" s="31">
        <f t="shared" si="95"/>
        <v>84.329137112146</v>
      </c>
      <c r="BI48" s="30" t="str">
        <f t="shared" si="96"/>
        <v>-64,1986880012564+2294,61265390496i</v>
      </c>
      <c r="BJ48" s="68">
        <f t="shared" si="97"/>
        <v>67.2175858765553</v>
      </c>
      <c r="BK48" s="31">
        <f t="shared" si="98"/>
        <v>91.6026036291956</v>
      </c>
      <c r="BL48" s="32">
        <f t="shared" si="99"/>
        <v>59.2638404260129</v>
      </c>
      <c r="BM48" s="31">
        <f t="shared" si="100"/>
        <v>84.329137112146</v>
      </c>
      <c r="BO48">
        <f t="shared" si="101"/>
        <v>0</v>
      </c>
      <c r="BP48">
        <f t="shared" si="102"/>
        <v>0</v>
      </c>
    </row>
    <row r="49" spans="1:68">
      <c r="N49" s="7">
        <v>31</v>
      </c>
      <c r="O49" s="18">
        <f t="shared" si="62"/>
        <v>20.4173794466953</v>
      </c>
      <c r="P49" s="86" t="str">
        <f t="shared" si="50"/>
        <v>96,0576923076923</v>
      </c>
      <c r="Q49" s="4" t="str">
        <f t="shared" si="51"/>
        <v>1+0,171242312029871i</v>
      </c>
      <c r="R49" s="4">
        <f t="shared" si="63"/>
        <v>1.01455602577154</v>
      </c>
      <c r="S49" s="4">
        <f t="shared" si="64"/>
        <v>0.169597326435757</v>
      </c>
      <c r="T49" s="4" t="str">
        <f t="shared" si="52"/>
        <v>1+0,00201152727967319i</v>
      </c>
      <c r="U49" s="4">
        <f t="shared" si="65"/>
        <v>1.00000202311895</v>
      </c>
      <c r="V49" s="4">
        <f t="shared" si="66"/>
        <v>0.00201152456663772</v>
      </c>
      <c r="W49" t="str">
        <f t="shared" si="53"/>
        <v>1-0,000955019329209919i</v>
      </c>
      <c r="X49" s="4">
        <f t="shared" si="67"/>
        <v>1.00000045603086</v>
      </c>
      <c r="Y49" s="4">
        <f t="shared" si="68"/>
        <v>-0.00095501903886449</v>
      </c>
      <c r="Z49" t="str">
        <f t="shared" si="54"/>
        <v>0,999999996596985+0,00163708481583211i</v>
      </c>
      <c r="AA49" s="4">
        <f t="shared" si="69"/>
        <v>1.00000133661944</v>
      </c>
      <c r="AB49" s="4">
        <f t="shared" si="70"/>
        <v>0.00163708335891755</v>
      </c>
      <c r="AC49" s="67" t="str">
        <f t="shared" si="71"/>
        <v>93,3119624484179-16,034725216961i</v>
      </c>
      <c r="AD49" s="68">
        <f t="shared" si="72"/>
        <v>39.5251322099505</v>
      </c>
      <c r="AE49" s="31">
        <f t="shared" si="73"/>
        <v>-9.75047568087481</v>
      </c>
      <c r="AF49" s="32" t="str">
        <f t="shared" si="74"/>
        <v>236,914774604583</v>
      </c>
      <c r="AG49" s="32" t="str">
        <f t="shared" si="55"/>
        <v>1+0,0422877894022204i</v>
      </c>
      <c r="AH49" s="32">
        <f t="shared" si="75"/>
        <v>1.00089372919033</v>
      </c>
      <c r="AI49" s="32">
        <f t="shared" si="76"/>
        <v>0.0422626092668321</v>
      </c>
      <c r="AJ49" s="32" t="str">
        <f t="shared" si="56"/>
        <v>1+0,00201152727967319i</v>
      </c>
      <c r="AK49" s="32">
        <f t="shared" si="77"/>
        <v>1.00000202311895</v>
      </c>
      <c r="AL49" s="32">
        <f t="shared" si="78"/>
        <v>0.00201152456663772</v>
      </c>
      <c r="AM49" s="32" t="str">
        <f t="shared" si="57"/>
        <v>1-0,0000956188719375955i</v>
      </c>
      <c r="AN49" s="32">
        <f t="shared" si="79"/>
        <v>1.00000000457148</v>
      </c>
      <c r="AO49" s="32">
        <f t="shared" si="80"/>
        <v>-9.5618871646182e-5</v>
      </c>
      <c r="AP49" s="30" t="str">
        <f t="shared" si="81"/>
        <v>236,511072284815-9,54762340749189i</v>
      </c>
      <c r="AQ49" s="32">
        <f t="shared" si="82"/>
        <v>47.4841011514273</v>
      </c>
      <c r="AR49" s="31">
        <f t="shared" si="83"/>
        <v>-2.31169583193187</v>
      </c>
      <c r="AS49" t="str">
        <f t="shared" si="58"/>
        <v>-0,000272527472527473</v>
      </c>
      <c r="AT49" t="str">
        <f t="shared" si="59"/>
        <v>0,0000288259043203168i</v>
      </c>
      <c r="AU49">
        <f t="shared" si="84"/>
        <v>2.88259043203168e-5</v>
      </c>
      <c r="AV49">
        <f t="shared" si="85"/>
        <v>1.5707963267949</v>
      </c>
      <c r="AW49" t="str">
        <f t="shared" si="60"/>
        <v>1+0,00147583342925352i</v>
      </c>
      <c r="AX49">
        <f t="shared" si="86"/>
        <v>1.00000108904156</v>
      </c>
      <c r="AY49">
        <f t="shared" si="87"/>
        <v>0.00147583235775837</v>
      </c>
      <c r="AZ49" t="str">
        <f t="shared" si="61"/>
        <v>1+0,0705573982028222i</v>
      </c>
      <c r="BA49">
        <f t="shared" si="88"/>
        <v>1.00248608291644</v>
      </c>
      <c r="BB49">
        <f t="shared" si="89"/>
        <v>0.0704406603111867</v>
      </c>
      <c r="BC49" s="30" t="str">
        <f t="shared" si="90"/>
        <v>-0,653113360500153+9,45521966630124i</v>
      </c>
      <c r="BD49" s="32">
        <f t="shared" si="91"/>
        <v>19.5341045394754</v>
      </c>
      <c r="BE49" s="31">
        <f t="shared" si="92"/>
        <v>93.9513935765773</v>
      </c>
      <c r="BF49" s="30" t="str">
        <f t="shared" si="93"/>
        <v>90,6685598455958+892,75759571459i</v>
      </c>
      <c r="BG49" s="68">
        <f t="shared" si="94"/>
        <v>59.059236749426</v>
      </c>
      <c r="BH49" s="31">
        <f t="shared" si="95"/>
        <v>84.2009178957025</v>
      </c>
      <c r="BI49" s="30" t="str">
        <f t="shared" si="96"/>
        <v>-64,1936646064747+2242,49982237383i</v>
      </c>
      <c r="BJ49" s="68">
        <f t="shared" si="97"/>
        <v>67.0182056909028</v>
      </c>
      <c r="BK49" s="31">
        <f t="shared" si="98"/>
        <v>91.6396977446454</v>
      </c>
      <c r="BL49" s="32">
        <f t="shared" si="99"/>
        <v>59.059236749426</v>
      </c>
      <c r="BM49" s="31">
        <f t="shared" si="100"/>
        <v>84.2009178957025</v>
      </c>
      <c r="BO49">
        <f t="shared" si="101"/>
        <v>0</v>
      </c>
      <c r="BP49">
        <f t="shared" si="102"/>
        <v>0</v>
      </c>
    </row>
    <row r="50" ht="15.75" spans="1:68">
      <c r="A50" s="87" t="s">
        <v>438</v>
      </c>
      <c r="N50" s="7">
        <v>32</v>
      </c>
      <c r="O50" s="18">
        <f t="shared" si="62"/>
        <v>20.8929613085404</v>
      </c>
      <c r="P50" s="86" t="str">
        <f t="shared" si="50"/>
        <v>96,0576923076923</v>
      </c>
      <c r="Q50" s="4" t="str">
        <f t="shared" si="51"/>
        <v>1+0,175231057882122i</v>
      </c>
      <c r="R50" s="4">
        <f t="shared" si="63"/>
        <v>1.01523688055866</v>
      </c>
      <c r="S50" s="4">
        <f t="shared" si="64"/>
        <v>0.173469849655154</v>
      </c>
      <c r="T50" s="4" t="str">
        <f t="shared" si="52"/>
        <v>1+0,00205838176907116i</v>
      </c>
      <c r="U50" s="4">
        <f t="shared" si="65"/>
        <v>1.00000211846551</v>
      </c>
      <c r="V50" s="4">
        <f t="shared" si="66"/>
        <v>0.00205837886200162</v>
      </c>
      <c r="W50" t="str">
        <f t="shared" si="53"/>
        <v>1-0,000977264587073183i</v>
      </c>
      <c r="X50" s="4">
        <f t="shared" si="67"/>
        <v>1.00000047752292</v>
      </c>
      <c r="Y50" s="4">
        <f t="shared" si="68"/>
        <v>-0.000977264275962459</v>
      </c>
      <c r="Z50" t="str">
        <f t="shared" si="54"/>
        <v>0,999999996436605+0,00167521741981023i</v>
      </c>
      <c r="AA50" s="4">
        <f t="shared" si="69"/>
        <v>1.00000139961233</v>
      </c>
      <c r="AB50" s="4">
        <f t="shared" si="70"/>
        <v>0.00167521585869828</v>
      </c>
      <c r="AC50" s="67" t="str">
        <f t="shared" si="71"/>
        <v>93,1864152288403-16,3862221829588i</v>
      </c>
      <c r="AD50" s="68">
        <f t="shared" si="72"/>
        <v>39.5193056499307</v>
      </c>
      <c r="AE50" s="31">
        <f t="shared" si="73"/>
        <v>-9.973129753536</v>
      </c>
      <c r="AF50" s="32" t="str">
        <f t="shared" si="74"/>
        <v>236,914774604583</v>
      </c>
      <c r="AG50" s="32" t="str">
        <f t="shared" si="55"/>
        <v>1+0,0432727985543367i</v>
      </c>
      <c r="AH50" s="32">
        <f t="shared" si="75"/>
        <v>1.00093582965879</v>
      </c>
      <c r="AI50" s="32">
        <f t="shared" si="76"/>
        <v>0.0432458189154018</v>
      </c>
      <c r="AJ50" s="32" t="str">
        <f t="shared" si="56"/>
        <v>1+0,00205838176907116i</v>
      </c>
      <c r="AK50" s="32">
        <f t="shared" si="77"/>
        <v>1.00000211846551</v>
      </c>
      <c r="AL50" s="32">
        <f t="shared" si="78"/>
        <v>0.00205837886200162</v>
      </c>
      <c r="AM50" s="32" t="str">
        <f t="shared" si="57"/>
        <v>1-0,0000978461215835329i</v>
      </c>
      <c r="AN50" s="32">
        <f t="shared" si="79"/>
        <v>1.00000000478693</v>
      </c>
      <c r="AO50" s="32">
        <f t="shared" si="80"/>
        <v>-9.78461212712778e-5</v>
      </c>
      <c r="AP50" s="30" t="str">
        <f t="shared" si="81"/>
        <v>236,492081940726-9,76919436048796i</v>
      </c>
      <c r="AQ50" s="32">
        <f t="shared" si="82"/>
        <v>47.4837366356547</v>
      </c>
      <c r="AR50" s="31">
        <f t="shared" si="83"/>
        <v>-2.36547265379848</v>
      </c>
      <c r="AS50" t="str">
        <f t="shared" si="58"/>
        <v>-0,000272527472527473</v>
      </c>
      <c r="AT50" t="str">
        <f t="shared" si="59"/>
        <v>0,0000294973458871357i</v>
      </c>
      <c r="AU50">
        <f t="shared" si="84"/>
        <v>2.94973458871357e-5</v>
      </c>
      <c r="AV50">
        <f t="shared" si="85"/>
        <v>1.5707963267949</v>
      </c>
      <c r="AW50" t="str">
        <f t="shared" si="60"/>
        <v>1+0,0015102100059288i</v>
      </c>
      <c r="AX50">
        <f t="shared" si="86"/>
        <v>1.00000114036648</v>
      </c>
      <c r="AY50">
        <f t="shared" si="87"/>
        <v>0.00151020885780114</v>
      </c>
      <c r="AZ50" t="str">
        <f t="shared" si="61"/>
        <v>1+0,0722008911345111i</v>
      </c>
      <c r="BA50">
        <f t="shared" si="88"/>
        <v>1.00260309628517</v>
      </c>
      <c r="BB50">
        <f t="shared" si="89"/>
        <v>0.0720758217636342</v>
      </c>
      <c r="BC50" s="30" t="str">
        <f t="shared" si="90"/>
        <v>-0,653113293458256+9,24003698265935i</v>
      </c>
      <c r="BD50" s="32">
        <f t="shared" si="91"/>
        <v>19.3351178792134</v>
      </c>
      <c r="BE50" s="31">
        <f t="shared" si="92"/>
        <v>94.0431117982581</v>
      </c>
      <c r="BF50" s="30" t="str">
        <f t="shared" si="93"/>
        <v>90,5480124209358+871,747982533186i</v>
      </c>
      <c r="BG50" s="68">
        <f t="shared" si="94"/>
        <v>58.8544235291441</v>
      </c>
      <c r="BH50" s="31">
        <f t="shared" si="95"/>
        <v>84.0699820447221</v>
      </c>
      <c r="BI50" s="30" t="str">
        <f t="shared" ref="BI50:BI113" si="103">IMPRODUCT(AP50,BC50)</f>
        <v>-64,1884053314114+2191,57597394163i</v>
      </c>
      <c r="BJ50" s="68">
        <f t="shared" si="97"/>
        <v>66.8188545148681</v>
      </c>
      <c r="BK50" s="31">
        <f t="shared" ref="BK50:BK113" si="104">(180/PI())*IMARGUMENT(BI50)</f>
        <v>91.6776391444596</v>
      </c>
      <c r="BL50" s="32">
        <f t="shared" si="99"/>
        <v>58.8544235291441</v>
      </c>
      <c r="BM50" s="31">
        <f t="shared" si="100"/>
        <v>84.0699820447221</v>
      </c>
      <c r="BO50">
        <f t="shared" si="101"/>
        <v>0</v>
      </c>
      <c r="BP50">
        <f t="shared" si="102"/>
        <v>0</v>
      </c>
    </row>
    <row r="51" spans="1:68">
      <c r="A51" t="s">
        <v>501</v>
      </c>
      <c r="N51" s="7">
        <v>33</v>
      </c>
      <c r="O51" s="18">
        <f t="shared" si="62"/>
        <v>21.3796208950223</v>
      </c>
      <c r="P51" s="86" t="str">
        <f t="shared" si="50"/>
        <v>96,0576923076923</v>
      </c>
      <c r="Q51" s="4" t="str">
        <f t="shared" si="51"/>
        <v>1+0,179312713560718i</v>
      </c>
      <c r="R51" s="4">
        <f t="shared" si="63"/>
        <v>1.01594933399481</v>
      </c>
      <c r="S51" s="4">
        <f t="shared" si="64"/>
        <v>0.177427141345787</v>
      </c>
      <c r="T51" s="4" t="str">
        <f t="shared" si="52"/>
        <v>1+0,00210632763972897i</v>
      </c>
      <c r="U51" s="4">
        <f t="shared" si="65"/>
        <v>1.0000022183056</v>
      </c>
      <c r="V51" s="4">
        <f t="shared" si="66"/>
        <v>0.0021063245247482</v>
      </c>
      <c r="W51" t="str">
        <f t="shared" si="53"/>
        <v>1-0,00100002800355613i</v>
      </c>
      <c r="X51" s="4">
        <f t="shared" si="67"/>
        <v>1.00000050002788</v>
      </c>
      <c r="Y51" s="4">
        <f t="shared" si="68"/>
        <v>-0.00100002767019499</v>
      </c>
      <c r="Z51" t="str">
        <f t="shared" si="54"/>
        <v>0,999999996268668+0,00171423824623845i</v>
      </c>
      <c r="AA51" s="4">
        <f t="shared" si="69"/>
        <v>1.00000146557398</v>
      </c>
      <c r="AB51" s="4">
        <f t="shared" si="70"/>
        <v>0.00171423657347699</v>
      </c>
      <c r="AC51" s="67" t="str">
        <f t="shared" si="71"/>
        <v>93,0553114925179-16,7443977709838i</v>
      </c>
      <c r="AD51" s="68">
        <f t="shared" si="72"/>
        <v>39.5132128606505</v>
      </c>
      <c r="AE51" s="31">
        <f t="shared" si="73"/>
        <v>-10.2006587502774</v>
      </c>
      <c r="AF51" s="32" t="str">
        <f t="shared" si="74"/>
        <v>236,914774604583</v>
      </c>
      <c r="AG51" s="32" t="str">
        <f t="shared" si="55"/>
        <v>1+0,0442807515170294i</v>
      </c>
      <c r="AH51" s="32">
        <f t="shared" si="75"/>
        <v>1.00097991236334</v>
      </c>
      <c r="AI51" s="32">
        <f t="shared" si="76"/>
        <v>0.044251843841335</v>
      </c>
      <c r="AJ51" s="32" t="str">
        <f t="shared" si="56"/>
        <v>1+0,00210632763972897i</v>
      </c>
      <c r="AK51" s="32">
        <f t="shared" si="77"/>
        <v>1.0000022183056</v>
      </c>
      <c r="AL51" s="32">
        <f t="shared" si="78"/>
        <v>0.0021063245247482</v>
      </c>
      <c r="AM51" s="32" t="str">
        <f t="shared" si="57"/>
        <v>1-0,00010012525053828i</v>
      </c>
      <c r="AN51" s="32">
        <f t="shared" si="79"/>
        <v>1.00000000501253</v>
      </c>
      <c r="AO51" s="32">
        <f t="shared" si="80"/>
        <v>-0.000100125250203693</v>
      </c>
      <c r="AP51" s="30" t="str">
        <f t="shared" si="81"/>
        <v>236,472200033351-9,99586774351581i</v>
      </c>
      <c r="AQ51" s="32">
        <f t="shared" si="82"/>
        <v>47.4833549737211</v>
      </c>
      <c r="AR51" s="31">
        <f t="shared" si="83"/>
        <v>-2.42049713648688</v>
      </c>
      <c r="AS51" t="str">
        <f t="shared" si="58"/>
        <v>-0,000272527472527473</v>
      </c>
      <c r="AT51" t="str">
        <f t="shared" si="59"/>
        <v>0,0000301844273371874i</v>
      </c>
      <c r="AU51">
        <f t="shared" si="84"/>
        <v>3.01844273371874e-5</v>
      </c>
      <c r="AV51">
        <f t="shared" si="85"/>
        <v>1.5707963267949</v>
      </c>
      <c r="AW51" t="str">
        <f t="shared" si="60"/>
        <v>1+0,00154538731593922i</v>
      </c>
      <c r="AX51">
        <f t="shared" si="86"/>
        <v>1.00000119411027</v>
      </c>
      <c r="AY51">
        <f t="shared" si="87"/>
        <v>0.00154538608569834</v>
      </c>
      <c r="AZ51" t="str">
        <f t="shared" si="61"/>
        <v>1+0,0738826659343706i</v>
      </c>
      <c r="BA51">
        <f t="shared" si="88"/>
        <v>1.0027256096887</v>
      </c>
      <c r="BB51">
        <f t="shared" si="89"/>
        <v>0.0737486713553593</v>
      </c>
      <c r="BC51" s="30" t="str">
        <f t="shared" si="90"/>
        <v>-0,653113223256781+9,02975348892247i</v>
      </c>
      <c r="BD51" s="32">
        <f t="shared" si="91"/>
        <v>19.1361787225999</v>
      </c>
      <c r="BE51" s="31">
        <f t="shared" si="92"/>
        <v>94.1369435129307</v>
      </c>
      <c r="BF51" s="30" t="str">
        <f t="shared" si="93"/>
        <v>90,4221297624044+851,202511212032i</v>
      </c>
      <c r="BG51" s="68">
        <f t="shared" si="94"/>
        <v>58.6493915832504</v>
      </c>
      <c r="BH51" s="31">
        <f t="shared" si="95"/>
        <v>83.9362847626533</v>
      </c>
      <c r="BI51" s="30" t="str">
        <f t="shared" si="103"/>
        <v>-64,1828991425847+2141,81410668554i</v>
      </c>
      <c r="BJ51" s="68">
        <f t="shared" si="97"/>
        <v>66.619533696321</v>
      </c>
      <c r="BK51" s="31">
        <f t="shared" si="104"/>
        <v>91.7164463764438</v>
      </c>
      <c r="BL51" s="32">
        <f t="shared" si="99"/>
        <v>58.6493915832504</v>
      </c>
      <c r="BM51" s="31">
        <f t="shared" si="100"/>
        <v>83.9362847626533</v>
      </c>
      <c r="BO51">
        <f t="shared" si="101"/>
        <v>0</v>
      </c>
      <c r="BP51">
        <f t="shared" si="102"/>
        <v>0</v>
      </c>
    </row>
    <row r="52" spans="1:68">
      <c r="A52" t="s">
        <v>291</v>
      </c>
      <c r="B52" s="15">
        <f>RFBT</f>
        <v>15000</v>
      </c>
      <c r="C52" s="16" t="s">
        <v>35</v>
      </c>
      <c r="E52" t="s">
        <v>502</v>
      </c>
      <c r="N52" s="7">
        <v>34</v>
      </c>
      <c r="O52" s="18">
        <f t="shared" si="62"/>
        <v>21.8776162394955</v>
      </c>
      <c r="P52" s="86" t="str">
        <f t="shared" si="50"/>
        <v>96,0576923076923</v>
      </c>
      <c r="Q52" s="4" t="str">
        <f t="shared" si="51"/>
        <v>1+0,183489443213529i</v>
      </c>
      <c r="R52" s="4">
        <f t="shared" si="63"/>
        <v>1.016694829224</v>
      </c>
      <c r="S52" s="4">
        <f t="shared" si="64"/>
        <v>0.181470803695632</v>
      </c>
      <c r="T52" s="4" t="str">
        <f t="shared" si="52"/>
        <v>1+0,00215539031318192i</v>
      </c>
      <c r="U52" s="4">
        <f t="shared" si="65"/>
        <v>1.000002322851</v>
      </c>
      <c r="V52" s="4">
        <f t="shared" si="66"/>
        <v>0.00215538697542031</v>
      </c>
      <c r="W52" t="str">
        <f t="shared" si="53"/>
        <v>1-0,0010233216481235i</v>
      </c>
      <c r="X52" s="4">
        <f t="shared" si="67"/>
        <v>1.00000052359346</v>
      </c>
      <c r="Y52" s="4">
        <f t="shared" si="68"/>
        <v>-0.00102332129092062</v>
      </c>
      <c r="Z52" t="str">
        <f t="shared" si="54"/>
        <v>0,999999996092816+0,00175416798447546i</v>
      </c>
      <c r="AA52" s="4">
        <f t="shared" si="69"/>
        <v>1.0000015346443</v>
      </c>
      <c r="AB52" s="4">
        <f t="shared" si="70"/>
        <v>0.00175416619207941</v>
      </c>
      <c r="AC52" s="67" t="str">
        <f t="shared" si="71"/>
        <v>92,9184224733655-17,1093072175942i</v>
      </c>
      <c r="AD52" s="68">
        <f t="shared" si="72"/>
        <v>39.5068420767188</v>
      </c>
      <c r="AE52" s="31">
        <f t="shared" si="73"/>
        <v>-10.433154890124</v>
      </c>
      <c r="AF52" s="32" t="str">
        <f t="shared" si="74"/>
        <v>236,914774604583</v>
      </c>
      <c r="AG52" s="32" t="str">
        <f t="shared" si="55"/>
        <v>1+0,0453121827203016i</v>
      </c>
      <c r="AH52" s="32">
        <f t="shared" si="75"/>
        <v>1.00102607054106</v>
      </c>
      <c r="AI52" s="32">
        <f t="shared" si="76"/>
        <v>0.0452812093022549</v>
      </c>
      <c r="AJ52" s="32" t="str">
        <f t="shared" si="56"/>
        <v>1+0,00215539031318192i</v>
      </c>
      <c r="AK52" s="32">
        <f t="shared" si="77"/>
        <v>1.000002322851</v>
      </c>
      <c r="AL52" s="32">
        <f t="shared" si="78"/>
        <v>0.00215538697542031</v>
      </c>
      <c r="AM52" s="32" t="str">
        <f t="shared" si="57"/>
        <v>1-0,000102457467226176i</v>
      </c>
      <c r="AN52" s="32">
        <f t="shared" si="79"/>
        <v>1.00000000524877</v>
      </c>
      <c r="AO52" s="32">
        <f t="shared" si="80"/>
        <v>-0.000102457466867659</v>
      </c>
      <c r="AP52" s="30" t="str">
        <f t="shared" si="81"/>
        <v>236,451384873963-10,2277582333994i</v>
      </c>
      <c r="AQ52" s="32">
        <f t="shared" si="82"/>
        <v>47.4829553607243</v>
      </c>
      <c r="AR52" s="31">
        <f t="shared" si="83"/>
        <v>-2.47679798778979</v>
      </c>
      <c r="AS52" t="str">
        <f t="shared" si="58"/>
        <v>-0,000272527472527473</v>
      </c>
      <c r="AT52" t="str">
        <f t="shared" si="59"/>
        <v>0,0000308875129701515i</v>
      </c>
      <c r="AU52">
        <f t="shared" si="84"/>
        <v>3.08875129701515e-5</v>
      </c>
      <c r="AV52">
        <f t="shared" si="85"/>
        <v>1.5707963267949</v>
      </c>
      <c r="AW52" t="str">
        <f t="shared" si="60"/>
        <v>1+0,00158138401076017i</v>
      </c>
      <c r="AX52">
        <f t="shared" si="86"/>
        <v>1.00000125038691</v>
      </c>
      <c r="AY52">
        <f t="shared" si="87"/>
        <v>0.00158138269253341</v>
      </c>
      <c r="AZ52" t="str">
        <f t="shared" si="61"/>
        <v>1+0,0756036143016615i</v>
      </c>
      <c r="BA52">
        <f t="shared" si="88"/>
        <v>1.00285388092956</v>
      </c>
      <c r="BB52">
        <f t="shared" si="89"/>
        <v>0.0754600585816053</v>
      </c>
      <c r="BC52" s="30" t="str">
        <f t="shared" si="90"/>
        <v>-0,653113149746831+8,82425768999809i</v>
      </c>
      <c r="BD52" s="32">
        <f t="shared" si="91"/>
        <v>18.9372892840837</v>
      </c>
      <c r="BE52" s="31">
        <f t="shared" si="92"/>
        <v>94.2329363244587</v>
      </c>
      <c r="BF52" s="30" t="str">
        <f t="shared" si="93"/>
        <v>90,290692214309+831,110417579956i</v>
      </c>
      <c r="BG52" s="68">
        <f t="shared" si="94"/>
        <v>58.4441313608025</v>
      </c>
      <c r="BH52" s="31">
        <f t="shared" si="95"/>
        <v>83.7997814343347</v>
      </c>
      <c r="BI52" s="30" t="str">
        <f t="shared" si="103"/>
        <v>-64,1771344945182+2093,18783467943i</v>
      </c>
      <c r="BJ52" s="68">
        <f t="shared" si="97"/>
        <v>66.4202446448081</v>
      </c>
      <c r="BK52" s="31">
        <f t="shared" si="104"/>
        <v>91.756138336669</v>
      </c>
      <c r="BL52" s="32">
        <f t="shared" si="99"/>
        <v>58.4441313608025</v>
      </c>
      <c r="BM52" s="31">
        <f t="shared" si="100"/>
        <v>83.7997814343347</v>
      </c>
      <c r="BO52">
        <f t="shared" si="101"/>
        <v>0</v>
      </c>
      <c r="BP52">
        <f t="shared" si="102"/>
        <v>0</v>
      </c>
    </row>
    <row r="53" spans="1:68">
      <c r="A53" t="s">
        <v>295</v>
      </c>
      <c r="B53" s="15">
        <f>RFBB</f>
        <v>7750</v>
      </c>
      <c r="C53" s="16" t="s">
        <v>35</v>
      </c>
      <c r="E53" t="s">
        <v>503</v>
      </c>
      <c r="N53" s="7">
        <v>35</v>
      </c>
      <c r="O53" s="18">
        <f t="shared" si="62"/>
        <v>22.3872113856834</v>
      </c>
      <c r="P53" s="86" t="str">
        <f t="shared" si="50"/>
        <v>96,0576923076923</v>
      </c>
      <c r="Q53" s="4" t="str">
        <f t="shared" si="51"/>
        <v>1+0,187763461397901i</v>
      </c>
      <c r="R53" s="4">
        <f t="shared" si="63"/>
        <v>1.01747487312273</v>
      </c>
      <c r="S53" s="4">
        <f t="shared" si="64"/>
        <v>0.185602451497367</v>
      </c>
      <c r="T53" s="4" t="str">
        <f t="shared" si="52"/>
        <v>1+0,00220559580310887i</v>
      </c>
      <c r="U53" s="4">
        <f t="shared" si="65"/>
        <v>1.00000243232347</v>
      </c>
      <c r="V53" s="4">
        <f t="shared" si="66"/>
        <v>0.00220559222663334</v>
      </c>
      <c r="W53" t="str">
        <f t="shared" si="53"/>
        <v>1-0,00104715787137397i</v>
      </c>
      <c r="X53" s="4">
        <f t="shared" si="67"/>
        <v>1.00000054826965</v>
      </c>
      <c r="Y53" s="4">
        <f t="shared" si="68"/>
        <v>-0.00104715748862419</v>
      </c>
      <c r="Z53" t="str">
        <f t="shared" si="54"/>
        <v>0,999999995908676+0,00179502780579698i</v>
      </c>
      <c r="AA53" s="4">
        <f t="shared" si="69"/>
        <v>1.0000016069698</v>
      </c>
      <c r="AB53" s="4">
        <f t="shared" si="70"/>
        <v>0.00179502588521017</v>
      </c>
      <c r="AC53" s="67" t="str">
        <f t="shared" si="71"/>
        <v>92,7755115826443-17,4810007441282i</v>
      </c>
      <c r="AD53" s="68">
        <f t="shared" si="72"/>
        <v>39.5001810499819</v>
      </c>
      <c r="AE53" s="31">
        <f t="shared" si="73"/>
        <v>-10.6707111240907</v>
      </c>
      <c r="AF53" s="32" t="str">
        <f t="shared" si="74"/>
        <v>236,914774604583</v>
      </c>
      <c r="AG53" s="32" t="str">
        <f t="shared" si="55"/>
        <v>1+0,0463676390426295i</v>
      </c>
      <c r="AH53" s="32">
        <f t="shared" si="75"/>
        <v>1.00107440180557</v>
      </c>
      <c r="AI53" s="32">
        <f t="shared" si="76"/>
        <v>0.0463344523507174</v>
      </c>
      <c r="AJ53" s="32" t="str">
        <f t="shared" si="56"/>
        <v>1+0,00220559580310887i</v>
      </c>
      <c r="AK53" s="32">
        <f t="shared" si="77"/>
        <v>1.00000243232347</v>
      </c>
      <c r="AL53" s="32">
        <f t="shared" si="78"/>
        <v>0.00220559222663334</v>
      </c>
      <c r="AM53" s="32" t="str">
        <f t="shared" si="57"/>
        <v>1-0,000104844008219381i</v>
      </c>
      <c r="AN53" s="32">
        <f t="shared" si="79"/>
        <v>1.00000000549613</v>
      </c>
      <c r="AO53" s="32">
        <f t="shared" si="80"/>
        <v>-0.000104844007835223</v>
      </c>
      <c r="AP53" s="30" t="str">
        <f t="shared" si="81"/>
        <v>236,429592840733-10,4649828818486i</v>
      </c>
      <c r="AQ53" s="32">
        <f t="shared" si="82"/>
        <v>47.4825369541334</v>
      </c>
      <c r="AR53" s="31">
        <f t="shared" si="83"/>
        <v>-2.53440455898938</v>
      </c>
      <c r="AS53" t="str">
        <f t="shared" si="58"/>
        <v>-0,000272527472527473</v>
      </c>
      <c r="AT53" t="str">
        <f t="shared" si="59"/>
        <v>0,000031606975571337i</v>
      </c>
      <c r="AU53">
        <f t="shared" si="84"/>
        <v>3.1606975571337e-5</v>
      </c>
      <c r="AV53">
        <f t="shared" si="85"/>
        <v>1.5707963267949</v>
      </c>
      <c r="AW53" t="str">
        <f t="shared" si="60"/>
        <v>1+0,0016182191763157i</v>
      </c>
      <c r="AX53">
        <f t="shared" si="86"/>
        <v>1.00000130931579</v>
      </c>
      <c r="AY53">
        <f t="shared" si="87"/>
        <v>0.00161821776381038</v>
      </c>
      <c r="AZ53" t="str">
        <f t="shared" si="61"/>
        <v>1+0,0773646487059869i</v>
      </c>
      <c r="BA53">
        <f t="shared" si="88"/>
        <v>1.00298817982537</v>
      </c>
      <c r="BB53">
        <f t="shared" si="89"/>
        <v>0.0772108507209621</v>
      </c>
      <c r="BC53" s="30" t="str">
        <f t="shared" si="90"/>
        <v>-0,653113072772474+8,62344062929282i</v>
      </c>
      <c r="BD53" s="32">
        <f t="shared" si="91"/>
        <v>18.7384518801503</v>
      </c>
      <c r="BE53" s="31">
        <f t="shared" si="92"/>
        <v>94.3311388307263</v>
      </c>
      <c r="BF53" s="30" t="str">
        <f t="shared" si="93"/>
        <v>90,153472609834+811,461186096337i</v>
      </c>
      <c r="BG53" s="68">
        <f t="shared" si="94"/>
        <v>58.2386329301322</v>
      </c>
      <c r="BH53" s="31">
        <f t="shared" si="95"/>
        <v>83.6604277066356</v>
      </c>
      <c r="BI53" s="30" t="str">
        <f t="shared" si="103"/>
        <v>-64,171099306369+2045,67137399641i</v>
      </c>
      <c r="BJ53" s="68">
        <f t="shared" si="97"/>
        <v>66.2209888342836</v>
      </c>
      <c r="BK53" s="31">
        <f t="shared" si="104"/>
        <v>91.796734271737</v>
      </c>
      <c r="BL53" s="32">
        <f t="shared" si="99"/>
        <v>58.2386329301322</v>
      </c>
      <c r="BM53" s="31">
        <f t="shared" si="100"/>
        <v>83.6604277066356</v>
      </c>
      <c r="BO53">
        <f t="shared" si="101"/>
        <v>0</v>
      </c>
      <c r="BP53">
        <f t="shared" si="102"/>
        <v>0</v>
      </c>
    </row>
    <row r="54" spans="1:68">
      <c r="A54" t="s">
        <v>361</v>
      </c>
      <c r="B54" s="15">
        <f>RCOMP</f>
        <v>2500</v>
      </c>
      <c r="C54" s="16" t="s">
        <v>35</v>
      </c>
      <c r="E54" t="s">
        <v>362</v>
      </c>
      <c r="N54" s="7">
        <v>36</v>
      </c>
      <c r="O54" s="18">
        <f t="shared" si="62"/>
        <v>22.9086765276777</v>
      </c>
      <c r="P54" s="86" t="str">
        <f t="shared" si="50"/>
        <v>96,0576923076923</v>
      </c>
      <c r="Q54" s="4" t="str">
        <f t="shared" si="51"/>
        <v>1+0,19213703425485i</v>
      </c>
      <c r="R54" s="4">
        <f t="shared" si="63"/>
        <v>1.01829103891385</v>
      </c>
      <c r="S54" s="4">
        <f t="shared" si="64"/>
        <v>0.189823710894591</v>
      </c>
      <c r="T54" s="4" t="str">
        <f t="shared" si="52"/>
        <v>1+0,00225697072912514i</v>
      </c>
      <c r="U54" s="4">
        <f t="shared" si="65"/>
        <v>1.00000254695519</v>
      </c>
      <c r="V54" s="4">
        <f t="shared" si="66"/>
        <v>0.00225696689686309</v>
      </c>
      <c r="W54" t="str">
        <f t="shared" si="53"/>
        <v>1-0,00107154931158861i</v>
      </c>
      <c r="X54" s="4">
        <f t="shared" si="67"/>
        <v>1.0000005741088</v>
      </c>
      <c r="Y54" s="4">
        <f t="shared" si="68"/>
        <v>-0.00107154890146485</v>
      </c>
      <c r="Z54" t="str">
        <f t="shared" si="54"/>
        <v>0,999999995715858+0,00183683937462115i</v>
      </c>
      <c r="AA54" s="4">
        <f t="shared" si="69"/>
        <v>1.00000168270389</v>
      </c>
      <c r="AB54" s="4">
        <f t="shared" si="70"/>
        <v>0.0018368373166755</v>
      </c>
      <c r="AC54" s="67" t="str">
        <f t="shared" si="71"/>
        <v>92,6263342930278-17,8595230872654i</v>
      </c>
      <c r="AD54" s="68">
        <f t="shared" si="72"/>
        <v>39.493217033171</v>
      </c>
      <c r="AE54" s="31">
        <f t="shared" si="73"/>
        <v>-10.9134210635741</v>
      </c>
      <c r="AF54" s="32" t="str">
        <f t="shared" si="74"/>
        <v>236,914774604583</v>
      </c>
      <c r="AG54" s="32" t="str">
        <f t="shared" si="55"/>
        <v>1+0,0474476801009262i</v>
      </c>
      <c r="AH54" s="32">
        <f t="shared" si="75"/>
        <v>1.00112500835158</v>
      </c>
      <c r="AI54" s="32">
        <f t="shared" si="76"/>
        <v>0.0474121220777341</v>
      </c>
      <c r="AJ54" s="32" t="str">
        <f t="shared" si="56"/>
        <v>1+0,00225697072912514i</v>
      </c>
      <c r="AK54" s="32">
        <f t="shared" si="77"/>
        <v>1.00000254695519</v>
      </c>
      <c r="AL54" s="32">
        <f t="shared" si="78"/>
        <v>0.00225696689686309</v>
      </c>
      <c r="AM54" s="32" t="str">
        <f t="shared" si="57"/>
        <v>1-0,000107286138893518i</v>
      </c>
      <c r="AN54" s="32">
        <f t="shared" si="79"/>
        <v>1.00000000575516</v>
      </c>
      <c r="AO54" s="32">
        <f t="shared" si="80"/>
        <v>-0.000107286138481886</v>
      </c>
      <c r="AP54" s="30" t="str">
        <f t="shared" si="81"/>
        <v>236,406778290655-10,7076611498599i</v>
      </c>
      <c r="AQ54" s="32">
        <f t="shared" si="82"/>
        <v>47.482098872044</v>
      </c>
      <c r="AR54" s="31">
        <f t="shared" si="83"/>
        <v>-2.59334685805747</v>
      </c>
      <c r="AS54" t="str">
        <f t="shared" si="58"/>
        <v>-0,000272527472527473</v>
      </c>
      <c r="AT54" t="str">
        <f t="shared" si="59"/>
        <v>0,000032343196609338i</v>
      </c>
      <c r="AU54">
        <f t="shared" si="84"/>
        <v>3.2343196609338e-5</v>
      </c>
      <c r="AV54">
        <f t="shared" si="85"/>
        <v>1.5707963267949</v>
      </c>
      <c r="AW54" t="str">
        <f t="shared" si="60"/>
        <v>1+0,00165591234309819i</v>
      </c>
      <c r="AX54">
        <f t="shared" si="86"/>
        <v>1.0000013710219</v>
      </c>
      <c r="AY54">
        <f t="shared" si="87"/>
        <v>0.00165591082957158</v>
      </c>
      <c r="AZ54" t="str">
        <f t="shared" si="61"/>
        <v>1+0,0791667028710986i</v>
      </c>
      <c r="BA54">
        <f t="shared" si="88"/>
        <v>1.00312878876218</v>
      </c>
      <c r="BB54">
        <f t="shared" si="89"/>
        <v>0.0790019331093419</v>
      </c>
      <c r="BC54" s="30" t="str">
        <f t="shared" si="90"/>
        <v>-0,653112992170455+8,42719583094225i</v>
      </c>
      <c r="BD54" s="32">
        <f t="shared" si="91"/>
        <v>18.5396689339088</v>
      </c>
      <c r="BE54" s="31">
        <f t="shared" si="92"/>
        <v>94.4316006387557</v>
      </c>
      <c r="BF54" s="30" t="str">
        <f t="shared" si="93"/>
        <v>90,0102361597196+792,244544751928i</v>
      </c>
      <c r="BG54" s="68">
        <f t="shared" si="94"/>
        <v>58.0328859670798</v>
      </c>
      <c r="BH54" s="31">
        <f t="shared" si="95"/>
        <v>83.5181795751816</v>
      </c>
      <c r="BI54" s="30" t="str">
        <f t="shared" si="103"/>
        <v>-64,1647809375454+1999,23952903023i</v>
      </c>
      <c r="BJ54" s="68">
        <f t="shared" si="97"/>
        <v>66.0217678059529</v>
      </c>
      <c r="BK54" s="31">
        <f t="shared" si="104"/>
        <v>91.8382537806982</v>
      </c>
      <c r="BL54" s="32">
        <f t="shared" si="99"/>
        <v>58.0328859670798</v>
      </c>
      <c r="BM54" s="31">
        <f t="shared" si="100"/>
        <v>83.5181795751816</v>
      </c>
      <c r="BO54">
        <f t="shared" si="101"/>
        <v>0</v>
      </c>
      <c r="BP54">
        <f t="shared" si="102"/>
        <v>0</v>
      </c>
    </row>
    <row r="55" spans="1:68">
      <c r="A55" t="s">
        <v>364</v>
      </c>
      <c r="B55" s="15">
        <f>CCOMP</f>
        <v>2.2e-7</v>
      </c>
      <c r="C55" s="16" t="s">
        <v>258</v>
      </c>
      <c r="E55" t="s">
        <v>365</v>
      </c>
      <c r="N55" s="7">
        <v>37</v>
      </c>
      <c r="O55" s="18">
        <f t="shared" si="62"/>
        <v>23.4422881531992</v>
      </c>
      <c r="P55" s="86" t="str">
        <f t="shared" si="50"/>
        <v>96,0576923076923</v>
      </c>
      <c r="Q55" s="4" t="str">
        <f t="shared" si="51"/>
        <v>1+0,196612480710595i</v>
      </c>
      <c r="R55" s="4">
        <f t="shared" si="63"/>
        <v>1.01914496886909</v>
      </c>
      <c r="S55" s="4">
        <f t="shared" si="64"/>
        <v>0.194136218012852</v>
      </c>
      <c r="T55" s="4" t="str">
        <f t="shared" si="52"/>
        <v>1+0,00230954233089654i</v>
      </c>
      <c r="U55" s="4">
        <f t="shared" si="65"/>
        <v>1.00000266698933</v>
      </c>
      <c r="V55" s="4">
        <f t="shared" si="66"/>
        <v>0.00230953822455437</v>
      </c>
      <c r="W55" t="str">
        <f t="shared" si="53"/>
        <v>1-0,00109650890143189i</v>
      </c>
      <c r="X55" s="4">
        <f t="shared" si="67"/>
        <v>1.0000006011657</v>
      </c>
      <c r="Y55" s="4">
        <f t="shared" si="68"/>
        <v>-0.00109650846197638</v>
      </c>
      <c r="Z55" t="str">
        <f t="shared" si="54"/>
        <v>0,999999995513952+0,00187962485999519i</v>
      </c>
      <c r="AA55" s="4">
        <f t="shared" si="69"/>
        <v>1.00000176200721</v>
      </c>
      <c r="AB55" s="4">
        <f t="shared" si="70"/>
        <v>0.0018796226548669</v>
      </c>
      <c r="AC55" s="67" t="str">
        <f t="shared" si="71"/>
        <v>92,4706380371468-18,2449130040155i</v>
      </c>
      <c r="AD55" s="68">
        <f t="shared" si="72"/>
        <v>39.4859367633223</v>
      </c>
      <c r="AE55" s="31">
        <f t="shared" si="73"/>
        <v>-11.1613789021496</v>
      </c>
      <c r="AF55" s="32" t="str">
        <f t="shared" si="74"/>
        <v>236,914774604583</v>
      </c>
      <c r="AG55" s="32" t="str">
        <f t="shared" si="55"/>
        <v>1+0,0485528785472568i</v>
      </c>
      <c r="AH55" s="32">
        <f t="shared" si="75"/>
        <v>1.00117799716895</v>
      </c>
      <c r="AI55" s="32">
        <f t="shared" si="76"/>
        <v>0.0485147798597609</v>
      </c>
      <c r="AJ55" s="32" t="str">
        <f t="shared" si="56"/>
        <v>1+0,00230954233089654i</v>
      </c>
      <c r="AK55" s="32">
        <f t="shared" si="77"/>
        <v>1.00000266698933</v>
      </c>
      <c r="AL55" s="32">
        <f t="shared" si="78"/>
        <v>0.00230953822455437</v>
      </c>
      <c r="AM55" s="32" t="str">
        <f t="shared" si="57"/>
        <v>1-0,000109785154098597i</v>
      </c>
      <c r="AN55" s="32">
        <f t="shared" si="79"/>
        <v>1.00000000602639</v>
      </c>
      <c r="AO55" s="32">
        <f t="shared" si="80"/>
        <v>-0.000109785153657525</v>
      </c>
      <c r="AP55" s="30" t="str">
        <f t="shared" si="81"/>
        <v>236,382893467617-10,9559149414565i</v>
      </c>
      <c r="AQ55" s="32">
        <f t="shared" si="82"/>
        <v>47.4816401913561</v>
      </c>
      <c r="AR55" s="31">
        <f t="shared" si="83"/>
        <v>-2.65365556303727</v>
      </c>
      <c r="AS55" t="str">
        <f t="shared" si="58"/>
        <v>-0,000272527472527473</v>
      </c>
      <c r="AT55" t="str">
        <f t="shared" si="59"/>
        <v>0,0000330965664382943i</v>
      </c>
      <c r="AU55">
        <f t="shared" si="84"/>
        <v>3.30965664382943e-5</v>
      </c>
      <c r="AV55">
        <f t="shared" si="85"/>
        <v>1.5707963267949</v>
      </c>
      <c r="AW55" t="str">
        <f t="shared" si="60"/>
        <v>1+0,00169448349652359i</v>
      </c>
      <c r="AX55">
        <f t="shared" si="86"/>
        <v>1.00000143563613</v>
      </c>
      <c r="AY55">
        <f t="shared" si="87"/>
        <v>0.00169448187475073</v>
      </c>
      <c r="AZ55" t="str">
        <f t="shared" si="61"/>
        <v>1+0,081010732269968i</v>
      </c>
      <c r="BA55">
        <f t="shared" si="88"/>
        <v>1.00327600327274</v>
      </c>
      <c r="BB55">
        <f t="shared" si="89"/>
        <v>0.0808342094106687</v>
      </c>
      <c r="BC55" s="30" t="str">
        <f t="shared" si="90"/>
        <v>-0,6531129077698+8,23541924335573i</v>
      </c>
      <c r="BD55" s="32">
        <f t="shared" si="91"/>
        <v>18.3409429798747</v>
      </c>
      <c r="BE55" s="31">
        <f t="shared" si="92"/>
        <v>94.5343723796234</v>
      </c>
      <c r="BF55" s="30" t="str">
        <f t="shared" si="93"/>
        <v>89,8607403548508+773,450460120561i</v>
      </c>
      <c r="BG55" s="68">
        <f t="shared" si="94"/>
        <v>57.8268797431969</v>
      </c>
      <c r="BH55" s="31">
        <f t="shared" si="95"/>
        <v>83.3729934774738</v>
      </c>
      <c r="BI55" s="30" t="str">
        <f t="shared" si="103"/>
        <v>-64,1581661622348+1953,86767912801i</v>
      </c>
      <c r="BJ55" s="68">
        <f t="shared" si="97"/>
        <v>65.8225831712307</v>
      </c>
      <c r="BK55" s="31">
        <f t="shared" si="104"/>
        <v>91.8807168165861</v>
      </c>
      <c r="BL55" s="32">
        <f t="shared" si="99"/>
        <v>57.8268797431969</v>
      </c>
      <c r="BM55" s="31">
        <f t="shared" si="100"/>
        <v>83.3729934774738</v>
      </c>
      <c r="BO55">
        <f t="shared" si="101"/>
        <v>0</v>
      </c>
      <c r="BP55">
        <f t="shared" si="102"/>
        <v>0</v>
      </c>
    </row>
    <row r="56" spans="1:68">
      <c r="A56" t="s">
        <v>367</v>
      </c>
      <c r="B56" s="15">
        <f>CHF</f>
        <v>4.7e-9</v>
      </c>
      <c r="C56" s="16" t="s">
        <v>258</v>
      </c>
      <c r="E56" t="s">
        <v>368</v>
      </c>
      <c r="N56" s="7">
        <v>38</v>
      </c>
      <c r="O56" s="18">
        <f t="shared" si="62"/>
        <v>23.9883291901949</v>
      </c>
      <c r="P56" s="86" t="str">
        <f t="shared" si="50"/>
        <v>96,0576923076923</v>
      </c>
      <c r="Q56" s="4" t="str">
        <f t="shared" si="51"/>
        <v>1+0,201192173706088i</v>
      </c>
      <c r="R56" s="4">
        <f t="shared" si="63"/>
        <v>1.02003837710185</v>
      </c>
      <c r="S56" s="4">
        <f t="shared" si="64"/>
        <v>0.198541617469288</v>
      </c>
      <c r="T56" s="4" t="str">
        <f t="shared" si="52"/>
        <v>1+0,0023633384825822i</v>
      </c>
      <c r="U56" s="4">
        <f t="shared" si="65"/>
        <v>1.00000279268049</v>
      </c>
      <c r="V56" s="4">
        <f t="shared" si="66"/>
        <v>0.00236333408255795</v>
      </c>
      <c r="W56" t="str">
        <f t="shared" si="53"/>
        <v>1-0,00112204987480873i</v>
      </c>
      <c r="X56" s="4">
        <f t="shared" si="67"/>
        <v>1.00000062949776</v>
      </c>
      <c r="Y56" s="4">
        <f t="shared" si="68"/>
        <v>-0.00112204940392368</v>
      </c>
      <c r="Z56" t="str">
        <f t="shared" si="54"/>
        <v>0,999999995302531+0,00192340694734978i</v>
      </c>
      <c r="AA56" s="4">
        <f t="shared" si="69"/>
        <v>1.00000184504797</v>
      </c>
      <c r="AB56" s="4">
        <f t="shared" si="70"/>
        <v>0.00192340458451249</v>
      </c>
      <c r="AC56" s="67" t="str">
        <f t="shared" si="71"/>
        <v>92,3081621226318-18,637202750559i</v>
      </c>
      <c r="AD56" s="68">
        <f t="shared" si="72"/>
        <v>39.4783264450051</v>
      </c>
      <c r="AE56" s="31">
        <f t="shared" si="73"/>
        <v>-11.4146793304198</v>
      </c>
      <c r="AF56" s="32" t="str">
        <f t="shared" si="74"/>
        <v>236,914774604583</v>
      </c>
      <c r="AG56" s="32" t="str">
        <f t="shared" si="55"/>
        <v>1+0,0496838203724667i</v>
      </c>
      <c r="AH56" s="32">
        <f t="shared" si="75"/>
        <v>1.00123348026662</v>
      </c>
      <c r="AI56" s="32">
        <f t="shared" si="76"/>
        <v>0.0496429996090843</v>
      </c>
      <c r="AJ56" s="32" t="str">
        <f t="shared" si="56"/>
        <v>1+0,0023633384825822i</v>
      </c>
      <c r="AK56" s="32">
        <f t="shared" si="77"/>
        <v>1.00000279268049</v>
      </c>
      <c r="AL56" s="32">
        <f t="shared" si="78"/>
        <v>0.00236333408255795</v>
      </c>
      <c r="AM56" s="32" t="str">
        <f t="shared" si="57"/>
        <v>1-0,000112342378845557i</v>
      </c>
      <c r="AN56" s="32">
        <f t="shared" si="79"/>
        <v>1.00000000631041</v>
      </c>
      <c r="AO56" s="32">
        <f t="shared" si="80"/>
        <v>-0.00011234237837294</v>
      </c>
      <c r="AP56" s="30" t="str">
        <f t="shared" si="81"/>
        <v>236,35788840644-11,2098686366485i</v>
      </c>
      <c r="AQ56" s="32">
        <f t="shared" si="82"/>
        <v>47.4811599458662</v>
      </c>
      <c r="AR56" s="31">
        <f t="shared" si="83"/>
        <v>-2.71536203560136</v>
      </c>
      <c r="AS56" t="str">
        <f t="shared" si="58"/>
        <v>-0,000272527472527473</v>
      </c>
      <c r="AT56" t="str">
        <f t="shared" si="59"/>
        <v>0,000033867484504861i</v>
      </c>
      <c r="AU56">
        <f t="shared" si="84"/>
        <v>3.3867484504861e-5</v>
      </c>
      <c r="AV56">
        <f t="shared" si="85"/>
        <v>1.5707963267949</v>
      </c>
      <c r="AW56" t="str">
        <f t="shared" si="60"/>
        <v>1+0,00173395308752798i</v>
      </c>
      <c r="AX56">
        <f t="shared" si="86"/>
        <v>1.00000150329552</v>
      </c>
      <c r="AY56">
        <f t="shared" si="87"/>
        <v>0.0017339513497672</v>
      </c>
      <c r="AZ56" t="str">
        <f t="shared" si="61"/>
        <v>1+0,0828977146313909i</v>
      </c>
      <c r="BA56">
        <f t="shared" si="88"/>
        <v>1.00343013264059</v>
      </c>
      <c r="BB56">
        <f t="shared" si="89"/>
        <v>0.0827086018835673</v>
      </c>
      <c r="BC56" s="30" t="str">
        <f t="shared" si="90"/>
        <v>-0,653112819391487+8,04800918404724i</v>
      </c>
      <c r="BD56" s="32">
        <f t="shared" si="91"/>
        <v>18.1422766689546</v>
      </c>
      <c r="BE56" s="31">
        <f t="shared" si="92"/>
        <v>94.6395057231335</v>
      </c>
      <c r="BF56" s="30" t="str">
        <f t="shared" si="93"/>
        <v>89,7047348846908+755,069132559451i</v>
      </c>
      <c r="BG56" s="68">
        <f t="shared" si="94"/>
        <v>57.6206031139597</v>
      </c>
      <c r="BH56" s="31">
        <f t="shared" si="95"/>
        <v>83.2248263927137</v>
      </c>
      <c r="BI56" s="30" t="str">
        <f t="shared" si="103"/>
        <v>-64,1512411428382+1909,53176552733i</v>
      </c>
      <c r="BJ56" s="68">
        <f t="shared" si="97"/>
        <v>65.6234366148208</v>
      </c>
      <c r="BK56" s="31">
        <f t="shared" si="104"/>
        <v>91.9241436875321</v>
      </c>
      <c r="BL56" s="32">
        <f t="shared" si="99"/>
        <v>57.6206031139597</v>
      </c>
      <c r="BM56" s="31">
        <f t="shared" si="100"/>
        <v>83.2248263927137</v>
      </c>
      <c r="BO56">
        <f t="shared" si="101"/>
        <v>0</v>
      </c>
      <c r="BP56">
        <f t="shared" si="102"/>
        <v>0</v>
      </c>
    </row>
    <row r="57" spans="1:68">
      <c r="N57" s="7">
        <v>39</v>
      </c>
      <c r="O57" s="18">
        <f t="shared" si="62"/>
        <v>24.5470891568503</v>
      </c>
      <c r="P57" s="86" t="str">
        <f t="shared" si="50"/>
        <v>96,0576923076923</v>
      </c>
      <c r="Q57" s="4" t="str">
        <f t="shared" si="51"/>
        <v>1+0,205878541455171i</v>
      </c>
      <c r="R57" s="4">
        <f t="shared" si="63"/>
        <v>1.02097305245129</v>
      </c>
      <c r="S57" s="4">
        <f t="shared" si="64"/>
        <v>0.203041560754594</v>
      </c>
      <c r="T57" s="4" t="str">
        <f t="shared" si="52"/>
        <v>1+0,00241838770761379i</v>
      </c>
      <c r="U57" s="4">
        <f t="shared" si="65"/>
        <v>1.00000292429528</v>
      </c>
      <c r="V57" s="4">
        <f t="shared" si="66"/>
        <v>0.00241838299290361</v>
      </c>
      <c r="W57" t="str">
        <f t="shared" si="53"/>
        <v>1-0,00114818577388127i</v>
      </c>
      <c r="X57" s="4">
        <f t="shared" si="67"/>
        <v>1.00000065916507</v>
      </c>
      <c r="Y57" s="4">
        <f t="shared" si="68"/>
        <v>-0.00114818526931887</v>
      </c>
      <c r="Z57" t="str">
        <f t="shared" si="54"/>
        <v>0,999999995081146+0,00196820885052714i</v>
      </c>
      <c r="AA57" s="4">
        <f t="shared" si="69"/>
        <v>1.00000193200232</v>
      </c>
      <c r="AB57" s="4">
        <f t="shared" si="70"/>
        <v>0.00196820631870163</v>
      </c>
      <c r="AC57" s="67" t="str">
        <f t="shared" si="71"/>
        <v>92,1386376658336-19,0364175344503i</v>
      </c>
      <c r="AD57" s="68">
        <f t="shared" si="72"/>
        <v>39.4703717333914</v>
      </c>
      <c r="AE57" s="31">
        <f t="shared" si="73"/>
        <v>-11.6734174435514</v>
      </c>
      <c r="AF57" s="32" t="str">
        <f t="shared" si="74"/>
        <v>236,914774604583</v>
      </c>
      <c r="AG57" s="32" t="str">
        <f t="shared" si="55"/>
        <v>1+0,0508411052168808i</v>
      </c>
      <c r="AH57" s="32">
        <f t="shared" si="75"/>
        <v>1.00129157490697</v>
      </c>
      <c r="AI57" s="32">
        <f t="shared" si="76"/>
        <v>0.0507973680275163</v>
      </c>
      <c r="AJ57" s="32" t="str">
        <f t="shared" si="56"/>
        <v>1+0,00241838770761379i</v>
      </c>
      <c r="AK57" s="32">
        <f t="shared" si="77"/>
        <v>1.00000292429528</v>
      </c>
      <c r="AL57" s="32">
        <f t="shared" si="78"/>
        <v>0.00241838299290361</v>
      </c>
      <c r="AM57" s="32" t="str">
        <f t="shared" si="57"/>
        <v>1-0,000114959169008808i</v>
      </c>
      <c r="AN57" s="32">
        <f t="shared" si="79"/>
        <v>1.00000000660781</v>
      </c>
      <c r="AO57" s="32">
        <f t="shared" si="80"/>
        <v>-0.000114959168502389</v>
      </c>
      <c r="AP57" s="30" t="str">
        <f t="shared" si="81"/>
        <v>236,331710832755-11,4696491234922i</v>
      </c>
      <c r="AQ57" s="32">
        <f t="shared" si="82"/>
        <v>47.4806571242756</v>
      </c>
      <c r="AR57" s="31">
        <f t="shared" si="83"/>
        <v>-2.7784983347814</v>
      </c>
      <c r="AS57" t="str">
        <f t="shared" si="58"/>
        <v>-0,000272527472527473</v>
      </c>
      <c r="AT57" t="str">
        <f t="shared" si="59"/>
        <v>0,0000346563595600013i</v>
      </c>
      <c r="AU57">
        <f t="shared" si="84"/>
        <v>3.46563595600013e-5</v>
      </c>
      <c r="AV57">
        <f t="shared" si="85"/>
        <v>1.5707963267949</v>
      </c>
      <c r="AW57" t="str">
        <f t="shared" si="60"/>
        <v>1+0,00177434204341096i</v>
      </c>
      <c r="AX57">
        <f t="shared" si="86"/>
        <v>1.0000015741436</v>
      </c>
      <c r="AY57">
        <f t="shared" si="87"/>
        <v>0.00177434018136689</v>
      </c>
      <c r="AZ57" t="str">
        <f t="shared" si="61"/>
        <v>1+0,0848286504583919i</v>
      </c>
      <c r="BA57">
        <f t="shared" si="88"/>
        <v>1.00359150053126</v>
      </c>
      <c r="BB57">
        <f t="shared" si="89"/>
        <v>0.0846260516432649</v>
      </c>
      <c r="BC57" s="30" t="str">
        <f t="shared" si="90"/>
        <v>-0,653112726848058+7,86486628572165i</v>
      </c>
      <c r="BD57" s="32">
        <f t="shared" si="91"/>
        <v>17.9436727736415</v>
      </c>
      <c r="BE57" s="31">
        <f t="shared" si="92"/>
        <v>94.7470533922024</v>
      </c>
      <c r="BF57" s="30" t="str">
        <f t="shared" si="93"/>
        <v>89,5419615736209+737,090991555681i</v>
      </c>
      <c r="BG57" s="68">
        <f t="shared" si="94"/>
        <v>57.4140445070329</v>
      </c>
      <c r="BH57" s="31">
        <f t="shared" si="95"/>
        <v>83.073635948651</v>
      </c>
      <c r="BI57" s="30" t="str">
        <f t="shared" si="103"/>
        <v>-64,1439914022367+1866,20827859049i</v>
      </c>
      <c r="BJ57" s="68">
        <f t="shared" si="97"/>
        <v>65.4243298979171</v>
      </c>
      <c r="BK57" s="31">
        <f t="shared" si="104"/>
        <v>91.968555057421</v>
      </c>
      <c r="BL57" s="32">
        <f t="shared" si="99"/>
        <v>57.4140445070329</v>
      </c>
      <c r="BM57" s="31">
        <f t="shared" si="100"/>
        <v>83.073635948651</v>
      </c>
      <c r="BO57">
        <f t="shared" si="101"/>
        <v>0</v>
      </c>
      <c r="BP57">
        <f t="shared" si="102"/>
        <v>0</v>
      </c>
    </row>
    <row r="58" spans="1:68">
      <c r="A58" t="s">
        <v>504</v>
      </c>
      <c r="B58" s="12">
        <f>-(RFBB*gm_ea)/(RFBB+RFBT)</f>
        <v>-0.000272527472527473</v>
      </c>
      <c r="C58" t="s">
        <v>244</v>
      </c>
      <c r="N58" s="7">
        <v>40</v>
      </c>
      <c r="O58" s="18">
        <f t="shared" si="62"/>
        <v>25.1188643150958</v>
      </c>
      <c r="P58" s="86" t="str">
        <f t="shared" si="50"/>
        <v>96,0576923076923</v>
      </c>
      <c r="Q58" s="4" t="str">
        <f t="shared" si="51"/>
        <v>1+0,21067406873206i</v>
      </c>
      <c r="R58" s="4">
        <f t="shared" si="63"/>
        <v>1.02195086145867</v>
      </c>
      <c r="S58" s="4">
        <f t="shared" si="64"/>
        <v>0.207637704480903</v>
      </c>
      <c r="T58" s="4" t="str">
        <f t="shared" si="52"/>
        <v>1+0,00247471919381912i</v>
      </c>
      <c r="U58" s="4">
        <f t="shared" si="65"/>
        <v>1.00000306211286</v>
      </c>
      <c r="V58" s="4">
        <f t="shared" si="66"/>
        <v>0.00247471414191698</v>
      </c>
      <c r="W58" t="str">
        <f t="shared" si="53"/>
        <v>1-0,00117493045624916i</v>
      </c>
      <c r="X58" s="4">
        <f t="shared" si="67"/>
        <v>1.00000069023055</v>
      </c>
      <c r="Y58" s="4">
        <f t="shared" si="68"/>
        <v>-0.00117492991560082</v>
      </c>
      <c r="Z58" t="str">
        <f t="shared" si="54"/>
        <v>0,999999994849328+0,00201405432408939i</v>
      </c>
      <c r="AA58" s="4">
        <f t="shared" si="69"/>
        <v>1.00000202305469</v>
      </c>
      <c r="AB58" s="4">
        <f t="shared" si="70"/>
        <v>0.00201405161118977</v>
      </c>
      <c r="AC58" s="67" t="str">
        <f t="shared" si="71"/>
        <v>91,9617875465497-19,4425749398004i</v>
      </c>
      <c r="AD58" s="68">
        <f t="shared" si="72"/>
        <v>39.4620577172105</v>
      </c>
      <c r="AE58" s="31">
        <f t="shared" si="73"/>
        <v>-11.9376886411374</v>
      </c>
      <c r="AF58" s="32" t="str">
        <f t="shared" si="74"/>
        <v>236,914774604583</v>
      </c>
      <c r="AG58" s="32" t="str">
        <f t="shared" si="55"/>
        <v>1+0,0520253466882428i</v>
      </c>
      <c r="AH58" s="32">
        <f t="shared" si="75"/>
        <v>1.00135240385093</v>
      </c>
      <c r="AI58" s="32">
        <f t="shared" si="76"/>
        <v>0.0519784848633041</v>
      </c>
      <c r="AJ58" s="32" t="str">
        <f t="shared" si="56"/>
        <v>1+0,00247471919381912i</v>
      </c>
      <c r="AK58" s="32">
        <f t="shared" si="77"/>
        <v>1.00000306211286</v>
      </c>
      <c r="AL58" s="32">
        <f t="shared" si="78"/>
        <v>0.00247471414191698</v>
      </c>
      <c r="AM58" s="32" t="str">
        <f t="shared" si="57"/>
        <v>1-0,000117636912045133i</v>
      </c>
      <c r="AN58" s="32">
        <f t="shared" si="79"/>
        <v>1.00000000691922</v>
      </c>
      <c r="AO58" s="32">
        <f t="shared" si="80"/>
        <v>-0.000117636911502496</v>
      </c>
      <c r="AP58" s="30" t="str">
        <f t="shared" si="81"/>
        <v>236,304306058535-11,735385829109i</v>
      </c>
      <c r="AQ58" s="32">
        <f t="shared" si="82"/>
        <v>47.4801306681065</v>
      </c>
      <c r="AR58" s="31">
        <f t="shared" si="83"/>
        <v>-2.84309723086283</v>
      </c>
      <c r="AS58" t="str">
        <f t="shared" si="58"/>
        <v>-0,000272527472527473</v>
      </c>
      <c r="AT58" t="str">
        <f t="shared" si="59"/>
        <v>0,0000354636098757114i</v>
      </c>
      <c r="AU58">
        <f t="shared" si="84"/>
        <v>3.54636098757114e-5</v>
      </c>
      <c r="AV58">
        <f t="shared" si="85"/>
        <v>1.5707963267949</v>
      </c>
      <c r="AW58" t="str">
        <f t="shared" si="60"/>
        <v>1+0,00181567177893155i</v>
      </c>
      <c r="AX58">
        <f t="shared" si="86"/>
        <v>1.00000164833065</v>
      </c>
      <c r="AY58">
        <f t="shared" si="87"/>
        <v>0.00181566978371556</v>
      </c>
      <c r="AZ58" t="str">
        <f t="shared" si="61"/>
        <v>1+0,0868045635587063i</v>
      </c>
      <c r="BA58">
        <f t="shared" si="88"/>
        <v>1.00376044565156</v>
      </c>
      <c r="BB58">
        <f t="shared" si="89"/>
        <v>0.0865875189178679</v>
      </c>
      <c r="BC58" s="30" t="str">
        <f t="shared" si="90"/>
        <v>-0,653112629943222+7,68589344358913i</v>
      </c>
      <c r="BD58" s="32">
        <f t="shared" si="91"/>
        <v>17.7451341934268</v>
      </c>
      <c r="BE58" s="31">
        <f t="shared" si="92"/>
        <v>94.8570691769067</v>
      </c>
      <c r="BF58" s="30" t="str">
        <f t="shared" si="93"/>
        <v>89,3721543374953+719,506691216564i</v>
      </c>
      <c r="BG58" s="68">
        <f t="shared" si="94"/>
        <v>57.2071919106373</v>
      </c>
      <c r="BH58" s="31">
        <f t="shared" si="95"/>
        <v>82.9193805357692</v>
      </c>
      <c r="BI58" s="30" t="str">
        <f t="shared" si="103"/>
        <v>-64,1364017948602+1823,87424532942i</v>
      </c>
      <c r="BJ58" s="68">
        <f t="shared" si="97"/>
        <v>65.2252648615334</v>
      </c>
      <c r="BK58" s="31">
        <f t="shared" si="104"/>
        <v>92.0139719460438</v>
      </c>
      <c r="BL58" s="32">
        <f t="shared" si="99"/>
        <v>57.2071919106373</v>
      </c>
      <c r="BM58" s="31">
        <f t="shared" si="100"/>
        <v>82.9193805357692</v>
      </c>
      <c r="BO58">
        <f t="shared" si="101"/>
        <v>0</v>
      </c>
      <c r="BP58">
        <f t="shared" si="102"/>
        <v>0</v>
      </c>
    </row>
    <row r="59" spans="1:68">
      <c r="A59" t="s">
        <v>449</v>
      </c>
      <c r="B59" s="12">
        <f>1/(RCOMP*CCOMP)</f>
        <v>1818.18181818182</v>
      </c>
      <c r="E59" t="s">
        <v>505</v>
      </c>
      <c r="N59" s="7">
        <v>41</v>
      </c>
      <c r="O59" s="18">
        <f t="shared" si="62"/>
        <v>25.7039578276886</v>
      </c>
      <c r="P59" s="86" t="str">
        <f t="shared" si="50"/>
        <v>96,0576923076923</v>
      </c>
      <c r="Q59" s="4" t="str">
        <f t="shared" si="51"/>
        <v>1+0,215581298188791i</v>
      </c>
      <c r="R59" s="4">
        <f t="shared" si="63"/>
        <v>1.02297375143684</v>
      </c>
      <c r="S59" s="4">
        <f t="shared" si="64"/>
        <v>0.212331708489056</v>
      </c>
      <c r="T59" s="4" t="str">
        <f t="shared" si="52"/>
        <v>1+0,00253236280889778i</v>
      </c>
      <c r="U59" s="4">
        <f t="shared" si="65"/>
        <v>1.00000320642556</v>
      </c>
      <c r="V59" s="4">
        <f t="shared" si="66"/>
        <v>0.00253235739568804</v>
      </c>
      <c r="W59" t="str">
        <f t="shared" si="53"/>
        <v>1-0,00120229810229699i</v>
      </c>
      <c r="X59" s="4">
        <f t="shared" si="67"/>
        <v>1.0000007227601</v>
      </c>
      <c r="Y59" s="4">
        <f t="shared" si="68"/>
        <v>-0.00120229752298188</v>
      </c>
      <c r="Z59" t="str">
        <f t="shared" si="54"/>
        <v>0,999999994606584+0,00206096767591342i</v>
      </c>
      <c r="AA59" s="4">
        <f t="shared" si="69"/>
        <v>1.00000211839822</v>
      </c>
      <c r="AB59" s="4">
        <f t="shared" si="70"/>
        <v>0.00206096476898944</v>
      </c>
      <c r="AC59" s="67" t="str">
        <f t="shared" si="71"/>
        <v>91,7773263862541-19,8556843251608i</v>
      </c>
      <c r="AD59" s="68">
        <f t="shared" si="72"/>
        <v>39.4533689016327</v>
      </c>
      <c r="AE59" s="31">
        <f t="shared" si="73"/>
        <v>-12.2075885190075</v>
      </c>
      <c r="AF59" s="32" t="str">
        <f t="shared" si="74"/>
        <v>236,914774604583</v>
      </c>
      <c r="AG59" s="32" t="str">
        <f t="shared" si="55"/>
        <v>1+0,0532371726870555i</v>
      </c>
      <c r="AH59" s="32">
        <f t="shared" si="75"/>
        <v>1.00141609561446</v>
      </c>
      <c r="AI59" s="32">
        <f t="shared" si="76"/>
        <v>0.0531869631711333</v>
      </c>
      <c r="AJ59" s="32" t="str">
        <f t="shared" si="56"/>
        <v>1+0,00253236280889778i</v>
      </c>
      <c r="AK59" s="32">
        <f t="shared" si="77"/>
        <v>1.00000320642556</v>
      </c>
      <c r="AL59" s="32">
        <f t="shared" si="78"/>
        <v>0.00253235739568804</v>
      </c>
      <c r="AM59" s="32" t="str">
        <f t="shared" si="57"/>
        <v>1-0,000120377027729332i</v>
      </c>
      <c r="AN59" s="32">
        <f t="shared" si="79"/>
        <v>1.00000000724531</v>
      </c>
      <c r="AO59" s="32">
        <f t="shared" si="80"/>
        <v>-0.000120377027147886</v>
      </c>
      <c r="AP59" s="30" t="str">
        <f t="shared" si="81"/>
        <v>236,27561687312-12,0072107495199i</v>
      </c>
      <c r="AQ59" s="32">
        <f t="shared" si="82"/>
        <v>47.4795794695257</v>
      </c>
      <c r="AR59" s="31">
        <f t="shared" si="83"/>
        <v>-2.90919221943793</v>
      </c>
      <c r="AS59" t="str">
        <f t="shared" si="58"/>
        <v>-0,000272527472527473</v>
      </c>
      <c r="AT59" t="str">
        <f t="shared" si="59"/>
        <v>0,000036289663466794i</v>
      </c>
      <c r="AU59">
        <f t="shared" si="84"/>
        <v>3.6289663466794e-5</v>
      </c>
      <c r="AV59">
        <f t="shared" si="85"/>
        <v>1.5707963267949</v>
      </c>
      <c r="AW59" t="str">
        <f t="shared" si="60"/>
        <v>1+0,00185796420766258i</v>
      </c>
      <c r="AX59">
        <f t="shared" si="86"/>
        <v>1.00000172601401</v>
      </c>
      <c r="AY59">
        <f t="shared" si="87"/>
        <v>0.00185796206975033</v>
      </c>
      <c r="AZ59" t="str">
        <f t="shared" si="61"/>
        <v>1+0,0888265015876133i</v>
      </c>
      <c r="BA59">
        <f t="shared" si="88"/>
        <v>1.00393732243816</v>
      </c>
      <c r="BB59">
        <f t="shared" si="89"/>
        <v>0.0885939832980965</v>
      </c>
      <c r="BC59" s="30" t="str">
        <f t="shared" si="90"/>
        <v>-0,653112528471427+7,5109957638786i</v>
      </c>
      <c r="BD59" s="32">
        <f t="shared" si="91"/>
        <v>17.5466639604379</v>
      </c>
      <c r="BE59" s="31">
        <f t="shared" si="92"/>
        <v>94.9696079481413</v>
      </c>
      <c r="BF59" s="30" t="str">
        <f t="shared" si="93"/>
        <v>89,1950391627197+702,307105901394i</v>
      </c>
      <c r="BG59" s="68">
        <f t="shared" si="94"/>
        <v>57.0000328620705</v>
      </c>
      <c r="BH59" s="31">
        <f t="shared" si="95"/>
        <v>82.7620194291338</v>
      </c>
      <c r="BI59" s="30" t="str">
        <f t="shared" si="103"/>
        <v>-64,128456476508+1782,50721721432i</v>
      </c>
      <c r="BJ59" s="68">
        <f t="shared" si="97"/>
        <v>65.0262434299636</v>
      </c>
      <c r="BK59" s="31">
        <f t="shared" si="104"/>
        <v>92.0604157287034</v>
      </c>
      <c r="BL59" s="32">
        <f t="shared" si="99"/>
        <v>57.0000328620705</v>
      </c>
      <c r="BM59" s="31">
        <f t="shared" si="100"/>
        <v>82.7620194291338</v>
      </c>
      <c r="BO59">
        <f t="shared" si="101"/>
        <v>0</v>
      </c>
      <c r="BP59">
        <f t="shared" si="102"/>
        <v>0</v>
      </c>
    </row>
    <row r="60" spans="1:68">
      <c r="A60" t="s">
        <v>447</v>
      </c>
      <c r="B60" s="12">
        <f>(CCOMP+CHF)</f>
        <v>2.247e-7</v>
      </c>
      <c r="E60" t="s">
        <v>506</v>
      </c>
      <c r="N60" s="7">
        <v>42</v>
      </c>
      <c r="O60" s="18">
        <f t="shared" si="62"/>
        <v>26.3026799189538</v>
      </c>
      <c r="P60" s="86" t="str">
        <f t="shared" si="50"/>
        <v>96,0576923076923</v>
      </c>
      <c r="Q60" s="4" t="str">
        <f t="shared" si="51"/>
        <v>1+0,220602831703377i</v>
      </c>
      <c r="R60" s="4">
        <f t="shared" si="63"/>
        <v>1.02404375363338</v>
      </c>
      <c r="S60" s="4">
        <f t="shared" si="64"/>
        <v>0.217125233808772</v>
      </c>
      <c r="T60" s="4" t="str">
        <f t="shared" si="52"/>
        <v>1+0,0025913491162575i</v>
      </c>
      <c r="U60" s="4">
        <f t="shared" si="65"/>
        <v>1.00000335753948</v>
      </c>
      <c r="V60" s="4">
        <f t="shared" si="66"/>
        <v>0.00259134331589981</v>
      </c>
      <c r="W60" t="str">
        <f t="shared" si="53"/>
        <v>1-0,00123030322271296i</v>
      </c>
      <c r="X60" s="4">
        <f t="shared" si="67"/>
        <v>1.00000075682272</v>
      </c>
      <c r="Y60" s="4">
        <f t="shared" si="68"/>
        <v>-0.00123030260196566</v>
      </c>
      <c r="Z60" t="str">
        <f t="shared" si="54"/>
        <v>0,9999999943524+0,00210897378007935i</v>
      </c>
      <c r="AA60" s="4">
        <f t="shared" si="69"/>
        <v>1.00000221823514</v>
      </c>
      <c r="AB60" s="4">
        <f t="shared" si="70"/>
        <v>0.00210897066525456</v>
      </c>
      <c r="AC60" s="67" t="str">
        <f t="shared" si="71"/>
        <v>91,5849605524835-20,2757461939793i</v>
      </c>
      <c r="AD60" s="68">
        <f t="shared" si="72"/>
        <v>39.4442891911355</v>
      </c>
      <c r="AE60" s="31">
        <f t="shared" si="73"/>
        <v>-12.4832127526159</v>
      </c>
      <c r="AF60" s="32" t="str">
        <f t="shared" si="74"/>
        <v>236,914774604583</v>
      </c>
      <c r="AG60" s="32" t="str">
        <f t="shared" si="55"/>
        <v>1+0,0544772257395042i</v>
      </c>
      <c r="AH60" s="32">
        <f t="shared" si="75"/>
        <v>1.00148278473685</v>
      </c>
      <c r="AI60" s="32">
        <f t="shared" si="76"/>
        <v>0.0544234295751053</v>
      </c>
      <c r="AJ60" s="32" t="str">
        <f t="shared" si="56"/>
        <v>1+0,0025913491162575i</v>
      </c>
      <c r="AK60" s="32">
        <f t="shared" si="77"/>
        <v>1.00000335753948</v>
      </c>
      <c r="AL60" s="32">
        <f t="shared" si="78"/>
        <v>0.00259134331589981</v>
      </c>
      <c r="AM60" s="32" t="str">
        <f t="shared" si="57"/>
        <v>1-0,000123180968907011i</v>
      </c>
      <c r="AN60" s="32">
        <f t="shared" si="79"/>
        <v>1.00000000758678</v>
      </c>
      <c r="AO60" s="32">
        <f t="shared" si="80"/>
        <v>-0.00012318096828398</v>
      </c>
      <c r="AP60" s="30" t="str">
        <f t="shared" si="81"/>
        <v>236,245583429557-12,2852584781371i</v>
      </c>
      <c r="AQ60" s="32">
        <f t="shared" si="82"/>
        <v>47.4790023690682</v>
      </c>
      <c r="AR60" s="31">
        <f t="shared" si="83"/>
        <v>-2.97681753560951</v>
      </c>
      <c r="AS60" t="str">
        <f t="shared" si="58"/>
        <v>-0,000272527472527473</v>
      </c>
      <c r="AT60" t="str">
        <f t="shared" si="59"/>
        <v>0,0000371349583177972i</v>
      </c>
      <c r="AU60">
        <f t="shared" si="84"/>
        <v>3.71349583177972e-5</v>
      </c>
      <c r="AV60">
        <f t="shared" si="85"/>
        <v>1.5707963267949</v>
      </c>
      <c r="AW60" t="str">
        <f t="shared" si="60"/>
        <v>1+0,00190124175360958i</v>
      </c>
      <c r="AX60">
        <f t="shared" si="86"/>
        <v>1.00000180735847</v>
      </c>
      <c r="AY60">
        <f t="shared" si="87"/>
        <v>0.00190123946279555</v>
      </c>
      <c r="AZ60" t="str">
        <f t="shared" si="61"/>
        <v>1+0,0908955366034198i</v>
      </c>
      <c r="BA60">
        <f t="shared" si="88"/>
        <v>1.00412250177676</v>
      </c>
      <c r="BB60">
        <f t="shared" si="89"/>
        <v>0.0906464439795119</v>
      </c>
      <c r="BC60" s="30" t="str">
        <f t="shared" si="90"/>
        <v>-0,653112422217452+7,34008051352412i</v>
      </c>
      <c r="BD60" s="32">
        <f t="shared" si="91"/>
        <v>17.3482652453085</v>
      </c>
      <c r="BE60" s="31">
        <f t="shared" si="92"/>
        <v>95.0847256708332</v>
      </c>
      <c r="BF60" s="30" t="str">
        <f t="shared" si="93"/>
        <v>89,010334110466+685,483325992175i</v>
      </c>
      <c r="BG60" s="68">
        <f t="shared" si="94"/>
        <v>56.7925544364439</v>
      </c>
      <c r="BH60" s="31">
        <f t="shared" si="95"/>
        <v>82.6015129182173</v>
      </c>
      <c r="BI60" s="30" t="str">
        <f t="shared" si="103"/>
        <v>-64,120138872872+1742,08525825965i</v>
      </c>
      <c r="BJ60" s="68">
        <f t="shared" si="97"/>
        <v>64.8272676143766</v>
      </c>
      <c r="BK60" s="31">
        <f t="shared" si="104"/>
        <v>92.1079081352237</v>
      </c>
      <c r="BL60" s="32">
        <f t="shared" si="99"/>
        <v>56.7925544364439</v>
      </c>
      <c r="BM60" s="31">
        <f t="shared" si="100"/>
        <v>82.6015129182173</v>
      </c>
      <c r="BO60">
        <f t="shared" si="101"/>
        <v>0</v>
      </c>
      <c r="BP60">
        <f t="shared" si="102"/>
        <v>0</v>
      </c>
    </row>
    <row r="61" spans="1:68">
      <c r="A61" t="s">
        <v>448</v>
      </c>
      <c r="B61" s="12">
        <f>(CCOMP+CHF)/(RCOMP*CHF*CCOMP)</f>
        <v>86924.5647969052</v>
      </c>
      <c r="E61" t="s">
        <v>507</v>
      </c>
      <c r="N61" s="7">
        <v>43</v>
      </c>
      <c r="O61" s="18">
        <f t="shared" si="62"/>
        <v>26.9153480392692</v>
      </c>
      <c r="P61" s="86" t="str">
        <f t="shared" si="50"/>
        <v>96,0576923076923</v>
      </c>
      <c r="Q61" s="4" t="str">
        <f t="shared" si="51"/>
        <v>1+0,225741331759357i</v>
      </c>
      <c r="R61" s="4">
        <f t="shared" si="63"/>
        <v>1.02516298648775</v>
      </c>
      <c r="S61" s="4">
        <f t="shared" si="64"/>
        <v>0.222019940465128</v>
      </c>
      <c r="T61" s="4" t="str">
        <f t="shared" si="52"/>
        <v>1+0,00265170939121923i</v>
      </c>
      <c r="U61" s="4">
        <f t="shared" si="65"/>
        <v>1.00000351577517</v>
      </c>
      <c r="V61" s="4">
        <f t="shared" si="66"/>
        <v>0.00265170317602517</v>
      </c>
      <c r="W61" t="str">
        <f t="shared" si="53"/>
        <v>1-0,0012589606661826i</v>
      </c>
      <c r="X61" s="4">
        <f t="shared" si="67"/>
        <v>1.00000079249067</v>
      </c>
      <c r="Y61" s="4">
        <f t="shared" si="68"/>
        <v>-0.00125896000103992</v>
      </c>
      <c r="Z61" t="str">
        <f t="shared" si="54"/>
        <v>0,999999994086237+0,00215809809005905i</v>
      </c>
      <c r="AA61" s="4">
        <f t="shared" si="69"/>
        <v>1.00000232277722</v>
      </c>
      <c r="AB61" s="4">
        <f t="shared" si="70"/>
        <v>0.00215809475246457</v>
      </c>
      <c r="AC61" s="67" t="str">
        <f t="shared" si="71"/>
        <v>91,3843881922016-20,7027515376498i</v>
      </c>
      <c r="AD61" s="68">
        <f t="shared" si="72"/>
        <v>39.4348018724083</v>
      </c>
      <c r="AE61" s="31">
        <f t="shared" si="73"/>
        <v>-12.7646569716309</v>
      </c>
      <c r="AF61" s="32" t="str">
        <f t="shared" si="74"/>
        <v>236,914774604583</v>
      </c>
      <c r="AG61" s="32" t="str">
        <f t="shared" si="55"/>
        <v>1+0,0557461633381315i</v>
      </c>
      <c r="AH61" s="32">
        <f t="shared" si="75"/>
        <v>1.00155261206135</v>
      </c>
      <c r="AI61" s="32">
        <f t="shared" si="76"/>
        <v>0.0556885245345369</v>
      </c>
      <c r="AJ61" s="32" t="str">
        <f t="shared" si="56"/>
        <v>1+0,00265170939121923i</v>
      </c>
      <c r="AK61" s="32">
        <f t="shared" si="77"/>
        <v>1.00000351577517</v>
      </c>
      <c r="AL61" s="32">
        <f t="shared" si="78"/>
        <v>0.00265170317602517</v>
      </c>
      <c r="AM61" s="32" t="str">
        <f t="shared" si="57"/>
        <v>1-0,000126050222264898i</v>
      </c>
      <c r="AN61" s="32">
        <f t="shared" si="79"/>
        <v>1.00000000794433</v>
      </c>
      <c r="AO61" s="32">
        <f t="shared" si="80"/>
        <v>-0.000126050221597308</v>
      </c>
      <c r="AP61" s="30" t="str">
        <f t="shared" si="81"/>
        <v>236,214143126089-12,5696662327429i</v>
      </c>
      <c r="AQ61" s="32">
        <f t="shared" si="82"/>
        <v>47.4783981532602</v>
      </c>
      <c r="AR61" s="31">
        <f t="shared" si="83"/>
        <v>-3.04600816833623</v>
      </c>
      <c r="AS61" t="str">
        <f t="shared" si="58"/>
        <v>-0,000272527472527473</v>
      </c>
      <c r="AT61" t="str">
        <f t="shared" si="59"/>
        <v>0,0000379999426152399i</v>
      </c>
      <c r="AU61">
        <f t="shared" si="84"/>
        <v>3.79999426152399e-5</v>
      </c>
      <c r="AV61">
        <f t="shared" si="85"/>
        <v>1.5707963267949</v>
      </c>
      <c r="AW61" t="str">
        <f t="shared" si="60"/>
        <v>1+0,00194552736310026i</v>
      </c>
      <c r="AX61">
        <f t="shared" si="86"/>
        <v>1.00000189253657</v>
      </c>
      <c r="AY61">
        <f t="shared" si="87"/>
        <v>0.00194552490844906</v>
      </c>
      <c r="AZ61" t="str">
        <f t="shared" si="61"/>
        <v>1+0,0930127656358785i</v>
      </c>
      <c r="BA61">
        <f t="shared" si="88"/>
        <v>1.00431637175306</v>
      </c>
      <c r="BB61">
        <f t="shared" si="89"/>
        <v>0.0927459199961732</v>
      </c>
      <c r="BC61" s="30" t="str">
        <f t="shared" si="90"/>
        <v>-0,653112310955914+7,17305707099625i</v>
      </c>
      <c r="BD61" s="32">
        <f t="shared" si="91"/>
        <v>17.1499413632901</v>
      </c>
      <c r="BE61" s="31">
        <f t="shared" si="92"/>
        <v>95.202479416647</v>
      </c>
      <c r="BF61" s="30" t="str">
        <f t="shared" si="93"/>
        <v>88,8177493487162+669,026653800638i</v>
      </c>
      <c r="BG61" s="68">
        <f t="shared" si="94"/>
        <v>56.5847432356984</v>
      </c>
      <c r="BH61" s="31">
        <f t="shared" si="95"/>
        <v>82.4378224450161</v>
      </c>
      <c r="BI61" s="30" t="str">
        <f t="shared" si="103"/>
        <v>-64,1114316467118+1702,58693338112i</v>
      </c>
      <c r="BJ61" s="68">
        <f t="shared" si="97"/>
        <v>64.6283395165503</v>
      </c>
      <c r="BK61" s="31">
        <f t="shared" si="104"/>
        <v>92.1564712483108</v>
      </c>
      <c r="BL61" s="32">
        <f t="shared" si="99"/>
        <v>56.5847432356984</v>
      </c>
      <c r="BM61" s="31">
        <f t="shared" si="100"/>
        <v>82.4378224450161</v>
      </c>
      <c r="BO61">
        <f t="shared" si="101"/>
        <v>0</v>
      </c>
      <c r="BP61">
        <f t="shared" si="102"/>
        <v>0</v>
      </c>
    </row>
    <row r="62" spans="1:68">
      <c r="N62" s="7">
        <v>44</v>
      </c>
      <c r="O62" s="18">
        <f t="shared" si="62"/>
        <v>27.5422870333817</v>
      </c>
      <c r="P62" s="86" t="str">
        <f t="shared" si="50"/>
        <v>96,0576923076923</v>
      </c>
      <c r="Q62" s="4" t="str">
        <f t="shared" si="51"/>
        <v>1+0,230999522857475i</v>
      </c>
      <c r="R62" s="4">
        <f t="shared" si="63"/>
        <v>1.02633365898249</v>
      </c>
      <c r="S62" s="4">
        <f t="shared" si="64"/>
        <v>0.22701748512483</v>
      </c>
      <c r="T62" s="4" t="str">
        <f t="shared" si="52"/>
        <v>1+0,00271347563759971i</v>
      </c>
      <c r="U62" s="4">
        <f t="shared" si="65"/>
        <v>1.00000368146824</v>
      </c>
      <c r="V62" s="4">
        <f t="shared" si="66"/>
        <v>0.00271346897790062</v>
      </c>
      <c r="W62" t="str">
        <f t="shared" si="53"/>
        <v>1-0,00128828562726177i</v>
      </c>
      <c r="X62" s="4">
        <f t="shared" si="67"/>
        <v>1.00000082983958</v>
      </c>
      <c r="Y62" s="4">
        <f t="shared" si="68"/>
        <v>-0.00128828491454858</v>
      </c>
      <c r="Z62" t="str">
        <f t="shared" si="54"/>
        <v>0,99999999380753+0,00220836665221191i</v>
      </c>
      <c r="AA62" s="4">
        <f t="shared" si="69"/>
        <v>1.00000243224621</v>
      </c>
      <c r="AB62" s="4">
        <f t="shared" si="70"/>
        <v>0.00220836307591547</v>
      </c>
      <c r="AC62" s="67" t="str">
        <f t="shared" si="71"/>
        <v>91,1752992971257-21,1366811513519i</v>
      </c>
      <c r="AD62" s="68">
        <f t="shared" si="72"/>
        <v>39.4248895973589</v>
      </c>
      <c r="AE62" s="31">
        <f t="shared" si="73"/>
        <v>-13.0520166253498</v>
      </c>
      <c r="AF62" s="32" t="str">
        <f t="shared" si="74"/>
        <v>236,914774604583</v>
      </c>
      <c r="AG62" s="32" t="str">
        <f t="shared" si="55"/>
        <v>1+0,0570446582904483i</v>
      </c>
      <c r="AH62" s="32">
        <f t="shared" si="75"/>
        <v>1.0016257250288</v>
      </c>
      <c r="AI62" s="32">
        <f t="shared" si="76"/>
        <v>0.0569829026124204</v>
      </c>
      <c r="AJ62" s="32" t="str">
        <f t="shared" si="56"/>
        <v>1+0,00271347563759971i</v>
      </c>
      <c r="AK62" s="32">
        <f t="shared" si="77"/>
        <v>1.00000368146824</v>
      </c>
      <c r="AL62" s="32">
        <f t="shared" si="78"/>
        <v>0.00271346897790062</v>
      </c>
      <c r="AM62" s="32" t="str">
        <f t="shared" si="57"/>
        <v>1-0,000128986309119102i</v>
      </c>
      <c r="AN62" s="32">
        <f t="shared" si="79"/>
        <v>1.00000000831873</v>
      </c>
      <c r="AO62" s="32">
        <f t="shared" si="80"/>
        <v>-0.000128986308403767</v>
      </c>
      <c r="AP62" s="30" t="str">
        <f t="shared" si="81"/>
        <v>236,181230482592-12,8605738807722i</v>
      </c>
      <c r="AQ62" s="32">
        <f t="shared" si="82"/>
        <v>47.4777655521342</v>
      </c>
      <c r="AR62" s="31">
        <f t="shared" si="83"/>
        <v>-3.11679987490982</v>
      </c>
      <c r="AS62" t="str">
        <f t="shared" si="58"/>
        <v>-0,000272527472527473</v>
      </c>
      <c r="AT62" t="str">
        <f t="shared" si="59"/>
        <v>0,0000388850749852457i</v>
      </c>
      <c r="AU62">
        <f t="shared" si="84"/>
        <v>3.88850749852457e-5</v>
      </c>
      <c r="AV62">
        <f t="shared" si="85"/>
        <v>1.5707963267949</v>
      </c>
      <c r="AW62" t="str">
        <f t="shared" si="60"/>
        <v>1+0,00199084451695096i</v>
      </c>
      <c r="AX62">
        <f t="shared" si="86"/>
        <v>1.00000198172898</v>
      </c>
      <c r="AY62">
        <f t="shared" si="87"/>
        <v>0.00199084188674509</v>
      </c>
      <c r="AZ62" t="str">
        <f t="shared" si="61"/>
        <v>1+0,0951793112678467i</v>
      </c>
      <c r="BA62">
        <f t="shared" si="88"/>
        <v>1.00451933843676</v>
      </c>
      <c r="BB62">
        <f t="shared" si="89"/>
        <v>0.0948934504445994</v>
      </c>
      <c r="BC62" s="30" t="str">
        <f t="shared" si="90"/>
        <v>-0,653112194450829+7,00983687825372i</v>
      </c>
      <c r="BD62" s="32">
        <f t="shared" si="91"/>
        <v>16.9516957806129</v>
      </c>
      <c r="BE62" s="31">
        <f t="shared" si="92"/>
        <v>95.322927376121</v>
      </c>
      <c r="BF62" s="30" t="str">
        <f t="shared" si="93"/>
        <v>88,61698721498+652,928599608979i</v>
      </c>
      <c r="BG62" s="68">
        <f t="shared" si="94"/>
        <v>56.3765853779718</v>
      </c>
      <c r="BH62" s="31">
        <f t="shared" si="95"/>
        <v>82.2709107507712</v>
      </c>
      <c r="BI62" s="30" t="str">
        <f t="shared" si="103"/>
        <v>-64,1023166636392+1663,99129701738i</v>
      </c>
      <c r="BJ62" s="68">
        <f t="shared" si="97"/>
        <v>64.4294613327472</v>
      </c>
      <c r="BK62" s="31">
        <f t="shared" si="104"/>
        <v>92.2061275012112</v>
      </c>
      <c r="BL62" s="32">
        <f t="shared" si="99"/>
        <v>56.3765853779718</v>
      </c>
      <c r="BM62" s="31">
        <f t="shared" si="100"/>
        <v>82.2709107507712</v>
      </c>
      <c r="BO62">
        <f t="shared" si="101"/>
        <v>0</v>
      </c>
      <c r="BP62">
        <f t="shared" si="102"/>
        <v>0</v>
      </c>
    </row>
    <row r="63" spans="1:68">
      <c r="N63" s="7">
        <v>45</v>
      </c>
      <c r="O63" s="18">
        <f t="shared" si="62"/>
        <v>28.1838293126445</v>
      </c>
      <c r="P63" s="86" t="str">
        <f t="shared" si="50"/>
        <v>96,0576923076923</v>
      </c>
      <c r="Q63" s="4" t="str">
        <f t="shared" si="51"/>
        <v>1+0,236380192960251i</v>
      </c>
      <c r="R63" s="4">
        <f t="shared" si="63"/>
        <v>1.02755807408824</v>
      </c>
      <c r="S63" s="4">
        <f t="shared" si="64"/>
        <v>0.232119518575823</v>
      </c>
      <c r="T63" s="4" t="str">
        <f t="shared" si="52"/>
        <v>1+0,00277668060468032i</v>
      </c>
      <c r="U63" s="4">
        <f t="shared" si="65"/>
        <v>1.00000385497016</v>
      </c>
      <c r="V63" s="4">
        <f t="shared" si="66"/>
        <v>0.00277667346868566</v>
      </c>
      <c r="W63" t="str">
        <f t="shared" si="53"/>
        <v>1-0,00131829365443297i</v>
      </c>
      <c r="X63" s="4">
        <f t="shared" si="67"/>
        <v>1.0000008689487</v>
      </c>
      <c r="Y63" s="4">
        <f t="shared" si="68"/>
        <v>-0.00131829289074706</v>
      </c>
      <c r="Z63" t="str">
        <f t="shared" si="54"/>
        <v>0,999999993515688+0,00225980611959495i</v>
      </c>
      <c r="AA63" s="4">
        <f t="shared" si="69"/>
        <v>1.00000254687429</v>
      </c>
      <c r="AB63" s="4">
        <f t="shared" si="70"/>
        <v>0.00225980228752479</v>
      </c>
      <c r="AC63" s="67" t="str">
        <f t="shared" si="71"/>
        <v>90,9573758041614-21,5775049230878i</v>
      </c>
      <c r="AD63" s="68">
        <f t="shared" si="72"/>
        <v>39.4145343662918</v>
      </c>
      <c r="AE63" s="31">
        <f t="shared" si="73"/>
        <v>-13.3453868385726</v>
      </c>
      <c r="AF63" s="32" t="str">
        <f t="shared" si="74"/>
        <v>236,914774604583</v>
      </c>
      <c r="AG63" s="32" t="str">
        <f t="shared" si="55"/>
        <v>1+0,0583733990756657i</v>
      </c>
      <c r="AH63" s="32">
        <f t="shared" si="75"/>
        <v>1.00170227798465</v>
      </c>
      <c r="AI63" s="32">
        <f t="shared" si="76"/>
        <v>0.0583072327463646</v>
      </c>
      <c r="AJ63" s="32" t="str">
        <f t="shared" si="56"/>
        <v>1+0,00277668060468032i</v>
      </c>
      <c r="AK63" s="32">
        <f t="shared" si="77"/>
        <v>1.00000385497016</v>
      </c>
      <c r="AL63" s="32">
        <f t="shared" si="78"/>
        <v>0.00277667346868566</v>
      </c>
      <c r="AM63" s="32" t="str">
        <f t="shared" si="57"/>
        <v>1-0,000131990786221735i</v>
      </c>
      <c r="AN63" s="32">
        <f t="shared" si="79"/>
        <v>1.00000000871078</v>
      </c>
      <c r="AO63" s="32">
        <f t="shared" si="80"/>
        <v>-0.00013199078545524</v>
      </c>
      <c r="AP63" s="30" t="str">
        <f t="shared" si="81"/>
        <v>236,146777011799-13,1581239627028i</v>
      </c>
      <c r="AQ63" s="32">
        <f t="shared" si="82"/>
        <v>47.4771032366334</v>
      </c>
      <c r="AR63" s="31">
        <f t="shared" si="83"/>
        <v>-3.18922919555323</v>
      </c>
      <c r="AS63" t="str">
        <f t="shared" si="58"/>
        <v>-0,000272527472527473</v>
      </c>
      <c r="AT63" t="str">
        <f t="shared" si="59"/>
        <v>0,0000397908247367135i</v>
      </c>
      <c r="AU63">
        <f t="shared" si="84"/>
        <v>3.97908247367135e-5</v>
      </c>
      <c r="AV63">
        <f t="shared" si="85"/>
        <v>1.5707963267949</v>
      </c>
      <c r="AW63" t="str">
        <f t="shared" si="60"/>
        <v>1+0,00203721724291647i</v>
      </c>
      <c r="AX63">
        <f t="shared" si="86"/>
        <v>1.00000207512489</v>
      </c>
      <c r="AY63">
        <f t="shared" si="87"/>
        <v>0.00203721442460042</v>
      </c>
      <c r="AZ63" t="str">
        <f t="shared" si="61"/>
        <v>1+0,0973963222304956i</v>
      </c>
      <c r="BA63">
        <f t="shared" si="88"/>
        <v>1.00473182670005</v>
      </c>
      <c r="BB63">
        <f t="shared" si="89"/>
        <v>0.0970900946968263</v>
      </c>
      <c r="BC63" s="30" t="str">
        <f t="shared" si="90"/>
        <v>-0,653112072455067+6,85033339378832i</v>
      </c>
      <c r="BD63" s="32">
        <f t="shared" si="91"/>
        <v>16.7535321211023</v>
      </c>
      <c r="BE63" s="31">
        <f t="shared" si="92"/>
        <v>95.4461288701609</v>
      </c>
      <c r="BF63" s="30" t="str">
        <f t="shared" si="93"/>
        <v>88,40774231273+637,180877841328i</v>
      </c>
      <c r="BG63" s="68">
        <f t="shared" si="94"/>
        <v>56.1680664873942</v>
      </c>
      <c r="BH63" s="31">
        <f t="shared" si="95"/>
        <v>82.1007420315883</v>
      </c>
      <c r="BI63" s="30" t="str">
        <f t="shared" si="103"/>
        <v>-64,0927749564513+1626,27788201031i</v>
      </c>
      <c r="BJ63" s="68">
        <f t="shared" si="97"/>
        <v>64.2306353577357</v>
      </c>
      <c r="BK63" s="31">
        <f t="shared" si="104"/>
        <v>92.2568996746076</v>
      </c>
      <c r="BL63" s="32">
        <f t="shared" si="99"/>
        <v>56.1680664873942</v>
      </c>
      <c r="BM63" s="31">
        <f t="shared" si="100"/>
        <v>82.1007420315883</v>
      </c>
      <c r="BO63">
        <f t="shared" si="101"/>
        <v>0</v>
      </c>
      <c r="BP63">
        <f t="shared" si="102"/>
        <v>0</v>
      </c>
    </row>
    <row r="64" spans="1:68">
      <c r="N64" s="7">
        <v>46</v>
      </c>
      <c r="O64" s="18">
        <f t="shared" si="62"/>
        <v>28.8403150312661</v>
      </c>
      <c r="P64" s="86" t="str">
        <f t="shared" si="50"/>
        <v>96,0576923076923</v>
      </c>
      <c r="Q64" s="4" t="str">
        <f t="shared" si="51"/>
        <v>1+0,241886194970198i</v>
      </c>
      <c r="R64" s="4">
        <f t="shared" si="63"/>
        <v>1.02883863230205</v>
      </c>
      <c r="S64" s="4">
        <f t="shared" si="64"/>
        <v>0.23732768303391</v>
      </c>
      <c r="T64" s="4" t="str">
        <f t="shared" si="52"/>
        <v>1+0,00284135780457127i</v>
      </c>
      <c r="U64" s="4">
        <f t="shared" si="65"/>
        <v>1.00000403664894</v>
      </c>
      <c r="V64" s="4">
        <f t="shared" si="66"/>
        <v>0.0028413501582169</v>
      </c>
      <c r="W64" t="str">
        <f t="shared" si="53"/>
        <v>1-0,00134900065834946i</v>
      </c>
      <c r="X64" s="4">
        <f t="shared" si="67"/>
        <v>1.00000090990097</v>
      </c>
      <c r="Y64" s="4">
        <f t="shared" si="68"/>
        <v>-0.00134899984004531</v>
      </c>
      <c r="Z64" t="str">
        <f t="shared" si="54"/>
        <v>0,999999993210092+0,00231244376609469i</v>
      </c>
      <c r="AA64" s="4">
        <f t="shared" si="69"/>
        <v>1.00000266690462</v>
      </c>
      <c r="AB64" s="4">
        <f t="shared" si="70"/>
        <v>0.00231243965995813</v>
      </c>
      <c r="AC64" s="67" t="str">
        <f t="shared" si="71"/>
        <v>90,7302917342493-22,0251810965425i</v>
      </c>
      <c r="AD64" s="68">
        <f t="shared" si="72"/>
        <v>39.4037175113347</v>
      </c>
      <c r="AE64" s="31">
        <f t="shared" si="73"/>
        <v>-13.6448622575696</v>
      </c>
      <c r="AF64" s="32" t="str">
        <f t="shared" si="74"/>
        <v>236,914774604583</v>
      </c>
      <c r="AG64" s="32" t="str">
        <f t="shared" si="55"/>
        <v>1+0,0597330902097369i</v>
      </c>
      <c r="AH64" s="32">
        <f t="shared" si="75"/>
        <v>1.00178243250019</v>
      </c>
      <c r="AI64" s="32">
        <f t="shared" si="76"/>
        <v>0.0596621985218105</v>
      </c>
      <c r="AJ64" s="32" t="str">
        <f t="shared" si="56"/>
        <v>1+0,00284135780457127i</v>
      </c>
      <c r="AK64" s="32">
        <f t="shared" si="77"/>
        <v>1.00000403664894</v>
      </c>
      <c r="AL64" s="32">
        <f t="shared" si="78"/>
        <v>0.0028413501582169</v>
      </c>
      <c r="AM64" s="32" t="str">
        <f t="shared" si="57"/>
        <v>1-0,00013506524658633i</v>
      </c>
      <c r="AN64" s="32">
        <f t="shared" si="79"/>
        <v>1.00000000912131</v>
      </c>
      <c r="AO64" s="32">
        <f t="shared" si="80"/>
        <v>-0.000135065245765015</v>
      </c>
      <c r="AP64" s="30" t="str">
        <f t="shared" si="81"/>
        <v>236,110711085088-13,4624617133416i</v>
      </c>
      <c r="AQ64" s="32">
        <f t="shared" si="82"/>
        <v>47.4764098158994</v>
      </c>
      <c r="AR64" s="31">
        <f t="shared" si="83"/>
        <v>-3.26333346812797</v>
      </c>
      <c r="AS64" t="str">
        <f t="shared" si="58"/>
        <v>-0,000272527472527473</v>
      </c>
      <c r="AT64" t="str">
        <f t="shared" si="59"/>
        <v>0,0000407176721101507i</v>
      </c>
      <c r="AU64">
        <f t="shared" si="84"/>
        <v>4.07176721101507e-5</v>
      </c>
      <c r="AV64">
        <f t="shared" si="85"/>
        <v>1.5707963267949</v>
      </c>
      <c r="AW64" t="str">
        <f t="shared" si="60"/>
        <v>1+0,00208467012842995i</v>
      </c>
      <c r="AX64">
        <f t="shared" si="86"/>
        <v>1.00000217292241</v>
      </c>
      <c r="AY64">
        <f t="shared" si="87"/>
        <v>0.00208466710855025</v>
      </c>
      <c r="AZ64" t="str">
        <f t="shared" si="61"/>
        <v>1+0,099664974012385i</v>
      </c>
      <c r="BA64">
        <f t="shared" si="88"/>
        <v>1.00495428107197</v>
      </c>
      <c r="BB64">
        <f t="shared" si="89"/>
        <v>0.0993369326012563</v>
      </c>
      <c r="BC64" s="30" t="str">
        <f t="shared" si="90"/>
        <v>-0,653111944709874+6,69446204673971i</v>
      </c>
      <c r="BD64" s="32">
        <f t="shared" si="91"/>
        <v>16.5554541730624</v>
      </c>
      <c r="BE64" s="31">
        <f t="shared" si="92"/>
        <v>95.5721443608178</v>
      </c>
      <c r="BF64" s="30" t="str">
        <f t="shared" si="93"/>
        <v>88,1897016447229+621,775403363104i</v>
      </c>
      <c r="BG64" s="68">
        <f t="shared" si="94"/>
        <v>55.9591716843971</v>
      </c>
      <c r="BH64" s="31">
        <f t="shared" si="95"/>
        <v>81.9272821032482</v>
      </c>
      <c r="BI64" s="30" t="str">
        <f t="shared" si="103"/>
        <v>-64,0827866879612+1589,42668873803i</v>
      </c>
      <c r="BJ64" s="68">
        <f t="shared" si="97"/>
        <v>64.0318639889618</v>
      </c>
      <c r="BK64" s="31">
        <f t="shared" si="104"/>
        <v>92.3088108926898</v>
      </c>
      <c r="BL64" s="32">
        <f t="shared" si="99"/>
        <v>55.9591716843971</v>
      </c>
      <c r="BM64" s="31">
        <f t="shared" si="100"/>
        <v>81.9272821032482</v>
      </c>
      <c r="BO64">
        <f t="shared" si="101"/>
        <v>0</v>
      </c>
      <c r="BP64">
        <f t="shared" si="102"/>
        <v>0</v>
      </c>
    </row>
    <row r="65" spans="1:68">
      <c r="A65" s="79" t="s">
        <v>508</v>
      </c>
      <c r="N65" s="7">
        <v>47</v>
      </c>
      <c r="O65" s="18">
        <f t="shared" si="62"/>
        <v>29.5120922666639</v>
      </c>
      <c r="P65" s="86" t="str">
        <f t="shared" si="50"/>
        <v>96,0576923076923</v>
      </c>
      <c r="Q65" s="4" t="str">
        <f t="shared" si="51"/>
        <v>1+0,24752044824246i</v>
      </c>
      <c r="R65" s="4">
        <f t="shared" si="63"/>
        <v>1.03017783527804</v>
      </c>
      <c r="S65" s="4">
        <f t="shared" si="64"/>
        <v>0.242643609270209</v>
      </c>
      <c r="T65" s="4" t="str">
        <f t="shared" si="52"/>
        <v>1+0,00290754152998001i</v>
      </c>
      <c r="U65" s="4">
        <f t="shared" si="65"/>
        <v>1.00000422688994</v>
      </c>
      <c r="V65" s="4">
        <f t="shared" si="66"/>
        <v>0.00290753333676556</v>
      </c>
      <c r="W65" t="str">
        <f t="shared" si="53"/>
        <v>1-0,00138042292027112i</v>
      </c>
      <c r="X65" s="4">
        <f t="shared" si="67"/>
        <v>1.00000095278327</v>
      </c>
      <c r="Y65" s="4">
        <f t="shared" si="68"/>
        <v>-0.00138042204344247</v>
      </c>
      <c r="Z65" t="str">
        <f t="shared" si="54"/>
        <v>0,999999992890093+0,00236630750088801i</v>
      </c>
      <c r="AA65" s="4">
        <f t="shared" si="69"/>
        <v>1.00000279259179</v>
      </c>
      <c r="AB65" s="4">
        <f t="shared" si="70"/>
        <v>0.00236630310108408</v>
      </c>
      <c r="AC65" s="67" t="str">
        <f t="shared" si="71"/>
        <v>90,493713373082-22,4796555086498i</v>
      </c>
      <c r="AD65" s="68">
        <f t="shared" si="72"/>
        <v>39.3924196801951</v>
      </c>
      <c r="AE65" s="31">
        <f t="shared" si="73"/>
        <v>-13.9505368857911</v>
      </c>
      <c r="AF65" s="32" t="str">
        <f t="shared" si="74"/>
        <v>236,914774604583</v>
      </c>
      <c r="AG65" s="32" t="str">
        <f t="shared" si="55"/>
        <v>1+0,0611244526188978i</v>
      </c>
      <c r="AH65" s="32">
        <f t="shared" si="75"/>
        <v>1.00186635770843</v>
      </c>
      <c r="AI65" s="32">
        <f t="shared" si="76"/>
        <v>0.0610484984472931</v>
      </c>
      <c r="AJ65" s="32" t="str">
        <f t="shared" si="56"/>
        <v>1+0,00290754152998001i</v>
      </c>
      <c r="AK65" s="32">
        <f t="shared" si="77"/>
        <v>1.00000422688994</v>
      </c>
      <c r="AL65" s="32">
        <f t="shared" si="78"/>
        <v>0.00290753333676556</v>
      </c>
      <c r="AM65" s="32" t="str">
        <f t="shared" si="57"/>
        <v>1-0,000138211320332463i</v>
      </c>
      <c r="AN65" s="32">
        <f t="shared" si="79"/>
        <v>1.00000000955118</v>
      </c>
      <c r="AO65" s="32">
        <f t="shared" si="80"/>
        <v>-0.000138211319452408</v>
      </c>
      <c r="AP65" s="30" t="str">
        <f t="shared" si="81"/>
        <v>236,072957792676-13,7737350807772i</v>
      </c>
      <c r="AQ65" s="32">
        <f t="shared" si="82"/>
        <v>47.4756838344402</v>
      </c>
      <c r="AR65" s="31">
        <f t="shared" si="83"/>
        <v>-3.33915084293616</v>
      </c>
      <c r="AS65" t="str">
        <f t="shared" si="58"/>
        <v>-0,000272527472527473</v>
      </c>
      <c r="AT65" t="str">
        <f t="shared" si="59"/>
        <v>0,0000416661085323027i</v>
      </c>
      <c r="AU65">
        <f t="shared" si="84"/>
        <v>4.16661085323027e-5</v>
      </c>
      <c r="AV65">
        <f t="shared" si="85"/>
        <v>1.5707963267949</v>
      </c>
      <c r="AW65" t="str">
        <f t="shared" si="60"/>
        <v>1+0,00213322833363939i</v>
      </c>
      <c r="AX65">
        <f t="shared" si="86"/>
        <v>1.00000227532897</v>
      </c>
      <c r="AY65">
        <f t="shared" si="87"/>
        <v>0.00213322509778039</v>
      </c>
      <c r="AZ65" t="str">
        <f t="shared" si="61"/>
        <v>1+0,101986469482717i</v>
      </c>
      <c r="BA65">
        <f t="shared" si="88"/>
        <v>1.00518716662995</v>
      </c>
      <c r="BB65">
        <f t="shared" si="89"/>
        <v>0.101635064669901</v>
      </c>
      <c r="BC65" s="30" t="str">
        <f t="shared" si="90"/>
        <v>-0,653111810944288+6,54214019205491i</v>
      </c>
      <c r="BD65" s="32">
        <f t="shared" si="91"/>
        <v>16.3574658964322</v>
      </c>
      <c r="BE65" s="31">
        <f t="shared" si="92"/>
        <v>95.7010354612703</v>
      </c>
      <c r="BF65" s="30" t="str">
        <f t="shared" si="93"/>
        <v>87,9625447865195+606,704287904995i</v>
      </c>
      <c r="BG65" s="68">
        <f t="shared" si="94"/>
        <v>55.7498855766273</v>
      </c>
      <c r="BH65" s="31">
        <f t="shared" si="95"/>
        <v>81.7504985754792</v>
      </c>
      <c r="BI65" s="30" t="str">
        <f t="shared" si="103"/>
        <v>-64,0723311122799+1553,41817449482i</v>
      </c>
      <c r="BJ65" s="68">
        <f t="shared" si="97"/>
        <v>63.8331497308724</v>
      </c>
      <c r="BK65" s="31">
        <f t="shared" si="104"/>
        <v>92.3618846183342</v>
      </c>
      <c r="BL65" s="32">
        <f t="shared" si="99"/>
        <v>55.7498855766273</v>
      </c>
      <c r="BM65" s="31">
        <f t="shared" si="100"/>
        <v>81.7504985754792</v>
      </c>
      <c r="BO65">
        <f t="shared" si="101"/>
        <v>0</v>
      </c>
      <c r="BP65">
        <f t="shared" si="102"/>
        <v>0</v>
      </c>
    </row>
    <row r="66" spans="1:68">
      <c r="A66" t="s">
        <v>509</v>
      </c>
      <c r="B66">
        <f>SQRT((2*IOUT*Lm*Fsw*(VOUT-VIN_var)/(VIN_var^2)))</f>
        <v>1.0434983894999</v>
      </c>
      <c r="E66" t="s">
        <v>510</v>
      </c>
      <c r="N66" s="7">
        <v>48</v>
      </c>
      <c r="O66" s="18">
        <f t="shared" si="62"/>
        <v>30.1995172040202</v>
      </c>
      <c r="P66" s="86" t="str">
        <f t="shared" si="50"/>
        <v>96,0576923076923</v>
      </c>
      <c r="Q66" s="4" t="str">
        <f t="shared" si="51"/>
        <v>1+0,253285940132701i</v>
      </c>
      <c r="R66" s="4">
        <f t="shared" si="63"/>
        <v>1.03157828954903</v>
      </c>
      <c r="S66" s="4">
        <f t="shared" si="64"/>
        <v>0.248068913553559</v>
      </c>
      <c r="T66" s="4" t="str">
        <f t="shared" si="52"/>
        <v>1+0,0029752668723938i</v>
      </c>
      <c r="U66" s="4">
        <f t="shared" si="65"/>
        <v>1.00000442609669</v>
      </c>
      <c r="V66" s="4">
        <f t="shared" si="66"/>
        <v>0.00297525809320844</v>
      </c>
      <c r="W66" t="str">
        <f t="shared" si="53"/>
        <v>1-0,00141257710069717i</v>
      </c>
      <c r="X66" s="4">
        <f t="shared" si="67"/>
        <v>1.00000099768653</v>
      </c>
      <c r="Y66" s="4">
        <f t="shared" si="68"/>
        <v>-0.00141257616115839</v>
      </c>
      <c r="Z66" t="str">
        <f t="shared" si="54"/>
        <v>0,999999992555014+0,00242142588324008i</v>
      </c>
      <c r="AA66" s="4">
        <f t="shared" si="69"/>
        <v>1.00000292420239</v>
      </c>
      <c r="AB66" s="4">
        <f t="shared" si="70"/>
        <v>0.00242142116876597</v>
      </c>
      <c r="AC66" s="67" t="str">
        <f t="shared" si="71"/>
        <v>90,2472994972858-22,9408608030286i</v>
      </c>
      <c r="AD66" s="68">
        <f t="shared" si="72"/>
        <v>39.3806208203398</v>
      </c>
      <c r="AE66" s="31">
        <f t="shared" si="73"/>
        <v>-14.2625039089807</v>
      </c>
      <c r="AF66" s="32" t="str">
        <f t="shared" si="74"/>
        <v>236,914774604583</v>
      </c>
      <c r="AG66" s="32" t="str">
        <f t="shared" si="55"/>
        <v>1+0,0625482240219151i</v>
      </c>
      <c r="AH66" s="32">
        <f t="shared" si="75"/>
        <v>1.00195423065542</v>
      </c>
      <c r="AI66" s="32">
        <f t="shared" si="76"/>
        <v>0.062466846231509</v>
      </c>
      <c r="AJ66" s="32" t="str">
        <f t="shared" si="56"/>
        <v>1+0,0029752668723938i</v>
      </c>
      <c r="AK66" s="32">
        <f t="shared" si="77"/>
        <v>1.00000442609669</v>
      </c>
      <c r="AL66" s="32">
        <f t="shared" si="78"/>
        <v>0.00297525809320844</v>
      </c>
      <c r="AM66" s="32" t="str">
        <f t="shared" si="57"/>
        <v>1-0,00014143067555008i</v>
      </c>
      <c r="AN66" s="32">
        <f t="shared" si="79"/>
        <v>1.00000001000132</v>
      </c>
      <c r="AO66" s="32">
        <f t="shared" si="80"/>
        <v>-0.000141430674607085</v>
      </c>
      <c r="AP66" s="30" t="str">
        <f t="shared" si="81"/>
        <v>236,033438797992-14,0920947427582i</v>
      </c>
      <c r="AQ66" s="32">
        <f t="shared" si="82"/>
        <v>47.4749237691712</v>
      </c>
      <c r="AR66" s="31">
        <f t="shared" si="83"/>
        <v>-3.41672029760383</v>
      </c>
      <c r="AS66" t="str">
        <f t="shared" si="58"/>
        <v>-0,000272527472527473</v>
      </c>
      <c r="AT66" t="str">
        <f t="shared" si="59"/>
        <v>0,0000426366368767147i</v>
      </c>
      <c r="AU66">
        <f t="shared" si="84"/>
        <v>4.26366368767147e-5</v>
      </c>
      <c r="AV66">
        <f t="shared" si="85"/>
        <v>1.5707963267949</v>
      </c>
      <c r="AW66" t="str">
        <f t="shared" si="60"/>
        <v>1+0,00218291760474794i</v>
      </c>
      <c r="AX66">
        <f t="shared" si="86"/>
        <v>1.0000023825618</v>
      </c>
      <c r="AY66">
        <f t="shared" si="87"/>
        <v>0.002182914137463</v>
      </c>
      <c r="AZ66" t="str">
        <f t="shared" si="61"/>
        <v>1+0,104362039529119i</v>
      </c>
      <c r="BA66">
        <f t="shared" si="88"/>
        <v>1.00543096993015</v>
      </c>
      <c r="BB66">
        <f t="shared" si="89"/>
        <v>0.103985612250547</v>
      </c>
      <c r="BC66" s="30" t="str">
        <f t="shared" si="90"/>
        <v>-0,653111670874581+6,39328706666847i</v>
      </c>
      <c r="BD66" s="32">
        <f t="shared" si="91"/>
        <v>16.1595714302236</v>
      </c>
      <c r="BE66" s="31">
        <f t="shared" si="92"/>
        <v>95.8328649449241</v>
      </c>
      <c r="BF66" s="30" t="str">
        <f t="shared" si="93"/>
        <v>87,7259441036533+591,95983660812i</v>
      </c>
      <c r="BG66" s="68">
        <f t="shared" si="94"/>
        <v>55.5401922505634</v>
      </c>
      <c r="BH66" s="31">
        <f t="shared" si="95"/>
        <v>81.5703610359434</v>
      </c>
      <c r="BI66" s="30" t="str">
        <f t="shared" si="103"/>
        <v>-64,061386534487+1518,23324311205i</v>
      </c>
      <c r="BJ66" s="68">
        <f t="shared" si="97"/>
        <v>63.6344951993948</v>
      </c>
      <c r="BK66" s="31">
        <f t="shared" si="104"/>
        <v>92.4161446473203</v>
      </c>
      <c r="BL66" s="32">
        <f t="shared" si="99"/>
        <v>55.5401922505634</v>
      </c>
      <c r="BM66" s="31">
        <f t="shared" si="100"/>
        <v>81.5703610359434</v>
      </c>
      <c r="BO66">
        <f t="shared" si="101"/>
        <v>0</v>
      </c>
      <c r="BP66">
        <f t="shared" si="102"/>
        <v>0</v>
      </c>
    </row>
    <row r="67" spans="1:68">
      <c r="A67" t="s">
        <v>342</v>
      </c>
      <c r="B67">
        <f>(Fsw*Gcomp)/((R_cs*Acs*(VIN_var/Lm))+((R_sl+Rsl_int)*Isl))</f>
        <v>209.993980172568</v>
      </c>
      <c r="C67" t="s">
        <v>244</v>
      </c>
      <c r="E67" t="s">
        <v>511</v>
      </c>
      <c r="N67" s="7">
        <v>49</v>
      </c>
      <c r="O67" s="18">
        <f t="shared" si="62"/>
        <v>30.9029543251359</v>
      </c>
      <c r="P67" s="86" t="str">
        <f t="shared" si="50"/>
        <v>96,0576923076923</v>
      </c>
      <c r="Q67" s="4" t="str">
        <f t="shared" si="51"/>
        <v>1+0,259185727581035i</v>
      </c>
      <c r="R67" s="4">
        <f t="shared" si="63"/>
        <v>1.03304271033763</v>
      </c>
      <c r="S67" s="4">
        <f t="shared" si="64"/>
        <v>0.253605194402265</v>
      </c>
      <c r="T67" s="4" t="str">
        <f t="shared" si="52"/>
        <v>1+0,00304456974068565i</v>
      </c>
      <c r="U67" s="4">
        <f t="shared" si="65"/>
        <v>1.00000463469171</v>
      </c>
      <c r="V67" s="4">
        <f t="shared" si="66"/>
        <v>0.00304456033362141</v>
      </c>
      <c r="W67" t="str">
        <f t="shared" si="53"/>
        <v>1-0,00144548024819968i</v>
      </c>
      <c r="X67" s="4">
        <f t="shared" si="67"/>
        <v>1.00000104470603</v>
      </c>
      <c r="Y67" s="4">
        <f t="shared" si="68"/>
        <v>-0.0014454792414658</v>
      </c>
      <c r="Z67" t="str">
        <f t="shared" si="54"/>
        <v>0,999999992204142+0,00247782813764681i</v>
      </c>
      <c r="AA67" s="4">
        <f t="shared" si="69"/>
        <v>1.00000306201559</v>
      </c>
      <c r="AB67" s="4">
        <f t="shared" si="70"/>
        <v>0.00247782308599763</v>
      </c>
      <c r="AC67" s="67" t="str">
        <f t="shared" si="71"/>
        <v>89,9907016498024-23,4087156207636i</v>
      </c>
      <c r="AD67" s="68">
        <f t="shared" si="72"/>
        <v>39.3683001636936</v>
      </c>
      <c r="AE67" s="31">
        <f t="shared" si="73"/>
        <v>-14.5808555093726</v>
      </c>
      <c r="AF67" s="32" t="str">
        <f t="shared" si="74"/>
        <v>236,914774604583</v>
      </c>
      <c r="AG67" s="32" t="str">
        <f t="shared" si="55"/>
        <v>1+0,0640051593212324i</v>
      </c>
      <c r="AH67" s="32">
        <f t="shared" si="75"/>
        <v>1.00204623666762</v>
      </c>
      <c r="AI67" s="32">
        <f t="shared" si="76"/>
        <v>0.0639179710619028</v>
      </c>
      <c r="AJ67" s="32" t="str">
        <f t="shared" si="56"/>
        <v>1+0,00304456974068565i</v>
      </c>
      <c r="AK67" s="32">
        <f t="shared" si="77"/>
        <v>1.00000463469171</v>
      </c>
      <c r="AL67" s="32">
        <f t="shared" si="78"/>
        <v>0.00304456033362141</v>
      </c>
      <c r="AM67" s="32" t="str">
        <f t="shared" si="57"/>
        <v>1-0,00014472501918393i</v>
      </c>
      <c r="AN67" s="32">
        <f t="shared" si="79"/>
        <v>1.00000001047267</v>
      </c>
      <c r="AO67" s="32">
        <f t="shared" si="80"/>
        <v>-0.000144725018173492</v>
      </c>
      <c r="AP67" s="30" t="str">
        <f t="shared" si="81"/>
        <v>235,992072186044-14,4176941202326i</v>
      </c>
      <c r="AQ67" s="32">
        <f t="shared" si="82"/>
        <v>47.4741280263258</v>
      </c>
      <c r="AR67" s="31">
        <f t="shared" si="83"/>
        <v>-3.4960816520282</v>
      </c>
      <c r="AS67" t="str">
        <f t="shared" si="58"/>
        <v>-0,000272527472527473</v>
      </c>
      <c r="AT67" t="str">
        <f t="shared" si="59"/>
        <v>0,0000436297717303613i</v>
      </c>
      <c r="AU67">
        <f t="shared" si="84"/>
        <v>4.36297717303613e-5</v>
      </c>
      <c r="AV67">
        <f t="shared" si="85"/>
        <v>1.5707963267949</v>
      </c>
      <c r="AW67" t="str">
        <f t="shared" si="60"/>
        <v>1+0,00223376428766485i</v>
      </c>
      <c r="AX67">
        <f t="shared" si="86"/>
        <v>1.00000249484833</v>
      </c>
      <c r="AY67">
        <f t="shared" si="87"/>
        <v>0.0022337605724026</v>
      </c>
      <c r="AZ67" t="str">
        <f t="shared" si="61"/>
        <v>1+0,106792943710275i</v>
      </c>
      <c r="BA67">
        <f t="shared" si="88"/>
        <v>1.00568619997806</v>
      </c>
      <c r="BB67">
        <f t="shared" si="89"/>
        <v>0.106389717682225</v>
      </c>
      <c r="BC67" s="30" t="str">
        <f t="shared" si="90"/>
        <v>-0,65311152420366+6,24782374668111i</v>
      </c>
      <c r="BD67" s="32">
        <f t="shared" si="91"/>
        <v>15.9617751002495</v>
      </c>
      <c r="BE67" s="31">
        <f t="shared" si="92"/>
        <v>95.9676967535384</v>
      </c>
      <c r="BF67" s="30" t="str">
        <f t="shared" si="93"/>
        <v>87,4795650160526+577,534544686857i</v>
      </c>
      <c r="BG67" s="68">
        <f t="shared" si="94"/>
        <v>55.3300752639431</v>
      </c>
      <c r="BH67" s="31">
        <f t="shared" si="95"/>
        <v>81.3868412441658</v>
      </c>
      <c r="BI67" s="30" t="str">
        <f t="shared" si="103"/>
        <v>-64,0499302686335+1483,85323481482i</v>
      </c>
      <c r="BJ67" s="68">
        <f t="shared" si="97"/>
        <v>63.4359031265753</v>
      </c>
      <c r="BK67" s="31">
        <f t="shared" si="104"/>
        <v>92.4716151015102</v>
      </c>
      <c r="BL67" s="32">
        <f t="shared" si="99"/>
        <v>55.3300752639431</v>
      </c>
      <c r="BM67" s="31">
        <f t="shared" si="100"/>
        <v>81.3868412441658</v>
      </c>
      <c r="BO67">
        <f t="shared" si="101"/>
        <v>0</v>
      </c>
      <c r="BP67">
        <f t="shared" si="102"/>
        <v>0</v>
      </c>
    </row>
    <row r="68" spans="1:68">
      <c r="A68" t="s">
        <v>344</v>
      </c>
      <c r="B68">
        <f>(B67*2*VOUT/DC_VIN_var_DCM)*(((VOUT/VIN_var)-1)/((2*VOUT/VIN_var)-1))</f>
        <v>236.914774604583</v>
      </c>
      <c r="C68" t="s">
        <v>244</v>
      </c>
      <c r="N68" s="7">
        <v>50</v>
      </c>
      <c r="O68" s="18">
        <f t="shared" si="62"/>
        <v>31.6227766016838</v>
      </c>
      <c r="P68" s="86" t="str">
        <f t="shared" si="50"/>
        <v>96,0576923076923</v>
      </c>
      <c r="Q68" s="4" t="str">
        <f t="shared" si="51"/>
        <v>1+0,265222938732861i</v>
      </c>
      <c r="R68" s="4">
        <f t="shared" si="63"/>
        <v>1.03457392545438</v>
      </c>
      <c r="S68" s="4">
        <f t="shared" si="64"/>
        <v>0.259254029139993</v>
      </c>
      <c r="T68" s="4" t="str">
        <f t="shared" si="52"/>
        <v>1+0,00311548688015366i</v>
      </c>
      <c r="U68" s="4">
        <f t="shared" si="65"/>
        <v>1.00000485311747</v>
      </c>
      <c r="V68" s="4">
        <f t="shared" si="66"/>
        <v>0.00311547680030536</v>
      </c>
      <c r="W68" t="str">
        <f t="shared" si="53"/>
        <v>1-0,00147914980846298i</v>
      </c>
      <c r="X68" s="4">
        <f t="shared" si="67"/>
        <v>1.00000109394148</v>
      </c>
      <c r="Y68" s="4">
        <f t="shared" si="68"/>
        <v>-0.00147914872972825</v>
      </c>
      <c r="Z68" t="str">
        <f t="shared" si="54"/>
        <v>0,999999991836735+0,00253554416933005i</v>
      </c>
      <c r="AA68" s="4">
        <f t="shared" si="69"/>
        <v>1.00000320632371</v>
      </c>
      <c r="AB68" s="4">
        <f t="shared" si="70"/>
        <v>0.00253553875639137</v>
      </c>
      <c r="AC68" s="67" t="str">
        <f t="shared" si="71"/>
        <v>89,7235644683083-23,8831237703432i</v>
      </c>
      <c r="AD68" s="68">
        <f t="shared" si="72"/>
        <v>39.3554362119643</v>
      </c>
      <c r="AE68" s="31">
        <f t="shared" si="73"/>
        <v>-14.9056826686735</v>
      </c>
      <c r="AF68" s="32" t="str">
        <f t="shared" si="74"/>
        <v>236,914774604583</v>
      </c>
      <c r="AG68" s="32" t="str">
        <f t="shared" si="55"/>
        <v>1+0,0654960310032302i</v>
      </c>
      <c r="AH68" s="32">
        <f t="shared" si="75"/>
        <v>1.00214256973605</v>
      </c>
      <c r="AI68" s="32">
        <f t="shared" si="76"/>
        <v>0.0654026178844782</v>
      </c>
      <c r="AJ68" s="32" t="str">
        <f t="shared" si="56"/>
        <v>1+0,00311548688015366i</v>
      </c>
      <c r="AK68" s="32">
        <f t="shared" si="77"/>
        <v>1.00000485311747</v>
      </c>
      <c r="AL68" s="32">
        <f t="shared" si="78"/>
        <v>0.00311547680030536</v>
      </c>
      <c r="AM68" s="32" t="str">
        <f t="shared" si="57"/>
        <v>1-0,000148096097938613i</v>
      </c>
      <c r="AN68" s="32">
        <f t="shared" si="79"/>
        <v>1.00000001096623</v>
      </c>
      <c r="AO68" s="32">
        <f t="shared" si="80"/>
        <v>-0.000148096096855909</v>
      </c>
      <c r="AP68" s="30" t="str">
        <f t="shared" si="81"/>
        <v>235,948772305574-14,7506893877678i</v>
      </c>
      <c r="AQ68" s="32">
        <f t="shared" si="82"/>
        <v>47.4732949382292</v>
      </c>
      <c r="AR68" s="31">
        <f t="shared" si="83"/>
        <v>-3.57727558337122</v>
      </c>
      <c r="AS68" t="str">
        <f t="shared" si="58"/>
        <v>-0,000272527472527473</v>
      </c>
      <c r="AT68" t="str">
        <f t="shared" si="59"/>
        <v>0,0000446460396664877i</v>
      </c>
      <c r="AU68">
        <f t="shared" si="84"/>
        <v>4.46460396664877e-5</v>
      </c>
      <c r="AV68">
        <f t="shared" si="85"/>
        <v>1.5707963267949</v>
      </c>
      <c r="AW68" t="str">
        <f t="shared" si="60"/>
        <v>1+0,00228579534197445i</v>
      </c>
      <c r="AX68">
        <f t="shared" si="86"/>
        <v>1.00000261242676</v>
      </c>
      <c r="AY68">
        <f t="shared" si="87"/>
        <v>0.00228579136099978</v>
      </c>
      <c r="AZ68" t="str">
        <f t="shared" si="61"/>
        <v>1+0,109280470923757i</v>
      </c>
      <c r="BA68">
        <f t="shared" si="88"/>
        <v>1.00595338924093</v>
      </c>
      <c r="BB68">
        <f t="shared" si="89"/>
        <v>0.108848544432303</v>
      </c>
      <c r="BC68" s="30" t="str">
        <f t="shared" si="90"/>
        <v>-0,653111370620419+6,10567310551307i</v>
      </c>
      <c r="BD68" s="32">
        <f t="shared" si="91"/>
        <v>15.7640814271498</v>
      </c>
      <c r="BE68" s="31">
        <f t="shared" si="92"/>
        <v>96.1055960042804</v>
      </c>
      <c r="BF68" s="30" t="str">
        <f t="shared" si="93"/>
        <v>87,223066313378+563,421094205264i</v>
      </c>
      <c r="BG68" s="68">
        <f t="shared" si="94"/>
        <v>55.1195176391142</v>
      </c>
      <c r="BH68" s="31">
        <f t="shared" si="95"/>
        <v>81.1999133356069</v>
      </c>
      <c r="BI68" s="30" t="str">
        <f t="shared" si="103"/>
        <v>-64,0379385940277+1450,25991630861i</v>
      </c>
      <c r="BJ68" s="68">
        <f t="shared" si="97"/>
        <v>63.237376365379</v>
      </c>
      <c r="BK68" s="31">
        <f t="shared" si="104"/>
        <v>92.5283204209092</v>
      </c>
      <c r="BL68" s="32">
        <f t="shared" si="99"/>
        <v>55.1195176391142</v>
      </c>
      <c r="BM68" s="31">
        <f t="shared" si="100"/>
        <v>81.1999133356069</v>
      </c>
      <c r="BO68">
        <f t="shared" si="101"/>
        <v>0</v>
      </c>
      <c r="BP68">
        <f t="shared" si="102"/>
        <v>0</v>
      </c>
    </row>
    <row r="69" spans="1:68">
      <c r="A69" t="s">
        <v>512</v>
      </c>
      <c r="B69">
        <f>(IOUT_VAR*((2*VOUT)-VIN_var))/(Cout*VOUT*(VOUT-VIN_var))</f>
        <v>3033.64589078875</v>
      </c>
      <c r="C69" t="s">
        <v>304</v>
      </c>
      <c r="N69" s="7">
        <v>51</v>
      </c>
      <c r="O69" s="18">
        <f t="shared" si="62"/>
        <v>32.3593656929628</v>
      </c>
      <c r="P69" s="86" t="str">
        <f t="shared" si="50"/>
        <v>96,0576923076923</v>
      </c>
      <c r="Q69" s="4" t="str">
        <f t="shared" si="51"/>
        <v>1+0,271400774597444i</v>
      </c>
      <c r="R69" s="4">
        <f t="shared" si="63"/>
        <v>1.03617487928056</v>
      </c>
      <c r="S69" s="4">
        <f t="shared" si="64"/>
        <v>0.26501697025107</v>
      </c>
      <c r="T69" s="4" t="str">
        <f t="shared" si="52"/>
        <v>1+0,00318805589200387i</v>
      </c>
      <c r="U69" s="4">
        <f t="shared" si="65"/>
        <v>1.00000508183727</v>
      </c>
      <c r="V69" s="4">
        <f t="shared" si="66"/>
        <v>0.00318804509125479</v>
      </c>
      <c r="W69" t="str">
        <f t="shared" si="53"/>
        <v>1-0,00151360363353358i</v>
      </c>
      <c r="X69" s="4">
        <f t="shared" si="67"/>
        <v>1.00000114549732</v>
      </c>
      <c r="Y69" s="4">
        <f t="shared" si="68"/>
        <v>-0.00151360247764857</v>
      </c>
      <c r="Z69" t="str">
        <f t="shared" si="54"/>
        <v>0,999999991452012+0,00259460458009376i</v>
      </c>
      <c r="AA69" s="4">
        <f t="shared" si="69"/>
        <v>1.00000335743284</v>
      </c>
      <c r="AB69" s="4">
        <f t="shared" si="70"/>
        <v>0.00259459878002651</v>
      </c>
      <c r="AC69" s="67" t="str">
        <f t="shared" si="71"/>
        <v>89,445526070618-24,3639733789425i</v>
      </c>
      <c r="AD69" s="68">
        <f t="shared" si="72"/>
        <v>39.3420067227077</v>
      </c>
      <c r="AE69" s="31">
        <f t="shared" si="73"/>
        <v>-15.2370749595592</v>
      </c>
      <c r="AF69" s="32" t="str">
        <f t="shared" si="74"/>
        <v>236,914774604583</v>
      </c>
      <c r="AG69" s="32" t="str">
        <f t="shared" si="55"/>
        <v>1+0,0670216295478085i</v>
      </c>
      <c r="AH69" s="32">
        <f t="shared" si="75"/>
        <v>1.00224343291799</v>
      </c>
      <c r="AI69" s="32">
        <f t="shared" si="76"/>
        <v>0.0669215476844954</v>
      </c>
      <c r="AJ69" s="32" t="str">
        <f t="shared" si="56"/>
        <v>1+0,00318805589200387i</v>
      </c>
      <c r="AK69" s="32">
        <f t="shared" si="77"/>
        <v>1.00000508183727</v>
      </c>
      <c r="AL69" s="32">
        <f t="shared" si="78"/>
        <v>0.00318804509125479</v>
      </c>
      <c r="AM69" s="32" t="str">
        <f t="shared" si="57"/>
        <v>1-0,000151545699204706i</v>
      </c>
      <c r="AN69" s="32">
        <f t="shared" si="79"/>
        <v>1.00000001148305</v>
      </c>
      <c r="AO69" s="32">
        <f t="shared" si="80"/>
        <v>-0.000151545698044568</v>
      </c>
      <c r="AP69" s="30" t="str">
        <f t="shared" si="81"/>
        <v>235,903449604794-15,0912394805511i</v>
      </c>
      <c r="AQ69" s="32">
        <f t="shared" si="82"/>
        <v>47.4724227599304</v>
      </c>
      <c r="AR69" s="31">
        <f t="shared" si="83"/>
        <v>-3.66034364108009</v>
      </c>
      <c r="AS69" t="str">
        <f t="shared" si="58"/>
        <v>-0,000272527472527473</v>
      </c>
      <c r="AT69" t="str">
        <f t="shared" si="59"/>
        <v>0,0000456859795238054i</v>
      </c>
      <c r="AU69">
        <f t="shared" si="84"/>
        <v>4.56859795238054e-5</v>
      </c>
      <c r="AV69">
        <f t="shared" si="85"/>
        <v>1.5707963267949</v>
      </c>
      <c r="AW69" t="str">
        <f t="shared" si="60"/>
        <v>1+0,00233903835523044i</v>
      </c>
      <c r="AX69">
        <f t="shared" si="86"/>
        <v>1.00000273554647</v>
      </c>
      <c r="AY69">
        <f t="shared" si="87"/>
        <v>0.00233903408953986</v>
      </c>
      <c r="AZ69" t="str">
        <f t="shared" si="61"/>
        <v>1+0,111825940089421i</v>
      </c>
      <c r="BA69">
        <f t="shared" si="88"/>
        <v>1.00623309470365</v>
      </c>
      <c r="BB69">
        <f t="shared" si="89"/>
        <v>0.11136327721338</v>
      </c>
      <c r="BC69" s="30" t="str">
        <f t="shared" si="90"/>
        <v>-0,653111209799101+5,96675977301061i</v>
      </c>
      <c r="BD69" s="32">
        <f t="shared" si="91"/>
        <v>15.566495134724</v>
      </c>
      <c r="BE69" s="31">
        <f t="shared" si="92"/>
        <v>96.2466289956042</v>
      </c>
      <c r="BF69" s="30" t="str">
        <f t="shared" si="93"/>
        <v>86,9561005250771+549,612350962969i</v>
      </c>
      <c r="BG69" s="68">
        <f t="shared" si="94"/>
        <v>54.9085018574317</v>
      </c>
      <c r="BH69" s="31">
        <f t="shared" si="95"/>
        <v>81.009554036045</v>
      </c>
      <c r="BI69" s="30" t="str">
        <f t="shared" si="103"/>
        <v>-64,0253867097464+1417,43547109083i</v>
      </c>
      <c r="BJ69" s="68">
        <f t="shared" si="97"/>
        <v>63.0389178946544</v>
      </c>
      <c r="BK69" s="31">
        <f t="shared" si="104"/>
        <v>92.5862853545242</v>
      </c>
      <c r="BL69" s="32">
        <f t="shared" si="99"/>
        <v>54.9085018574317</v>
      </c>
      <c r="BM69" s="31">
        <f t="shared" si="100"/>
        <v>81.009554036045</v>
      </c>
      <c r="BO69">
        <f t="shared" si="101"/>
        <v>0</v>
      </c>
      <c r="BP69">
        <f t="shared" si="102"/>
        <v>0</v>
      </c>
    </row>
    <row r="70" spans="1:68">
      <c r="B70">
        <f>B69/(2*PI())</f>
        <v>482.819739109445</v>
      </c>
      <c r="C70" t="s">
        <v>111</v>
      </c>
      <c r="N70" s="7">
        <v>52</v>
      </c>
      <c r="O70" s="18">
        <f t="shared" si="62"/>
        <v>33.1131121482591</v>
      </c>
      <c r="P70" s="86" t="str">
        <f t="shared" si="50"/>
        <v>96,0576923076923</v>
      </c>
      <c r="Q70" s="4" t="str">
        <f t="shared" si="51"/>
        <v>1+0,277722510745133i</v>
      </c>
      <c r="R70" s="4">
        <f t="shared" si="63"/>
        <v>1.03784863683226</v>
      </c>
      <c r="S70" s="4">
        <f t="shared" si="64"/>
        <v>0.270895541531048</v>
      </c>
      <c r="T70" s="4" t="str">
        <f t="shared" si="52"/>
        <v>1+0,00326231525328692i</v>
      </c>
      <c r="U70" s="4">
        <f t="shared" si="65"/>
        <v>1.00000532133625</v>
      </c>
      <c r="V70" s="4">
        <f t="shared" si="66"/>
        <v>0.00326230368007909</v>
      </c>
      <c r="W70" t="str">
        <f t="shared" si="53"/>
        <v>1-0,0015488599912856i</v>
      </c>
      <c r="X70" s="4">
        <f t="shared" si="67"/>
        <v>1.00000119948292</v>
      </c>
      <c r="Y70" s="4">
        <f t="shared" si="68"/>
        <v>-0.00154885875273257</v>
      </c>
      <c r="Z70" t="str">
        <f t="shared" si="54"/>
        <v>0,999999991049158+0,00265504068454949i</v>
      </c>
      <c r="AA70" s="4">
        <f t="shared" si="69"/>
        <v>1.0000035156635</v>
      </c>
      <c r="AB70" s="4">
        <f t="shared" si="70"/>
        <v>0.00265503446966664</v>
      </c>
      <c r="AC70" s="67" t="str">
        <f t="shared" si="71"/>
        <v>89,1562185010828-24,8511360276405i</v>
      </c>
      <c r="AD70" s="68">
        <f t="shared" si="72"/>
        <v>39.3279886962553</v>
      </c>
      <c r="AE70" s="31">
        <f t="shared" si="73"/>
        <v>-15.5751203254486</v>
      </c>
      <c r="AF70" s="32" t="str">
        <f t="shared" si="74"/>
        <v>236,914774604583</v>
      </c>
      <c r="AG70" s="32" t="str">
        <f t="shared" si="55"/>
        <v>1+0,068582763847509i</v>
      </c>
      <c r="AH70" s="32">
        <f t="shared" si="75"/>
        <v>1.00234903875694</v>
      </c>
      <c r="AI70" s="32">
        <f t="shared" si="76"/>
        <v>0.0684755377676933</v>
      </c>
      <c r="AJ70" s="32" t="str">
        <f t="shared" si="56"/>
        <v>1+0,00326231525328692i</v>
      </c>
      <c r="AK70" s="32">
        <f t="shared" si="77"/>
        <v>1.00000532133625</v>
      </c>
      <c r="AL70" s="32">
        <f t="shared" si="78"/>
        <v>0.00326230368007909</v>
      </c>
      <c r="AM70" s="32" t="str">
        <f t="shared" si="57"/>
        <v>1-0,000155075652006463i</v>
      </c>
      <c r="AN70" s="32">
        <f t="shared" si="79"/>
        <v>1.00000001202423</v>
      </c>
      <c r="AO70" s="32">
        <f t="shared" si="80"/>
        <v>-0.000155075650763353</v>
      </c>
      <c r="AP70" s="30" t="str">
        <f t="shared" si="81"/>
        <v>235,856010460493-15,4395060976478i</v>
      </c>
      <c r="AQ70" s="32">
        <f t="shared" si="82"/>
        <v>47.471509665686</v>
      </c>
      <c r="AR70" s="31">
        <f t="shared" si="83"/>
        <v>-3.74532826191295</v>
      </c>
      <c r="AS70" t="str">
        <f t="shared" si="58"/>
        <v>-0,000272527472527473</v>
      </c>
      <c r="AT70" t="str">
        <f t="shared" si="59"/>
        <v>0,0000467501426921921i</v>
      </c>
      <c r="AU70">
        <f t="shared" si="84"/>
        <v>4.67501426921921e-5</v>
      </c>
      <c r="AV70">
        <f t="shared" si="85"/>
        <v>1.5707963267949</v>
      </c>
      <c r="AW70" t="str">
        <f t="shared" si="60"/>
        <v>1+0,00239352155758321i</v>
      </c>
      <c r="AX70">
        <f t="shared" si="86"/>
        <v>1.00000286446862</v>
      </c>
      <c r="AY70">
        <f t="shared" si="87"/>
        <v>0.00239351698681411</v>
      </c>
      <c r="AZ70" t="str">
        <f t="shared" si="61"/>
        <v>1+0,114430700848712i</v>
      </c>
      <c r="BA70">
        <f t="shared" si="88"/>
        <v>1.00652589896968</v>
      </c>
      <c r="BB70">
        <f t="shared" si="89"/>
        <v>0.113935122078032</v>
      </c>
      <c r="BC70" s="30" t="str">
        <f t="shared" si="90"/>
        <v>-0,653111041398593+5,83101009548377i</v>
      </c>
      <c r="BD70" s="32">
        <f t="shared" si="91"/>
        <v>15.3690211585769</v>
      </c>
      <c r="BE70" s="31">
        <f t="shared" si="92"/>
        <v>96.3908632118417</v>
      </c>
      <c r="BF70" s="30" t="str">
        <f t="shared" si="93"/>
        <v>86,6783143490095+536,101361485921i</v>
      </c>
      <c r="BG70" s="68">
        <f t="shared" si="94"/>
        <v>54.6970098548323</v>
      </c>
      <c r="BH70" s="31">
        <f t="shared" si="95"/>
        <v>80.8157428863931</v>
      </c>
      <c r="BI70" s="30" t="str">
        <f t="shared" si="103"/>
        <v>-64,0122486873025+1385,36248998178i</v>
      </c>
      <c r="BJ70" s="68">
        <f t="shared" si="97"/>
        <v>62.840530824263</v>
      </c>
      <c r="BK70" s="31">
        <f t="shared" si="104"/>
        <v>92.6455349499287</v>
      </c>
      <c r="BL70" s="32">
        <f t="shared" si="99"/>
        <v>54.6970098548323</v>
      </c>
      <c r="BM70" s="31">
        <f t="shared" si="100"/>
        <v>80.8157428863931</v>
      </c>
      <c r="BO70">
        <f t="shared" si="101"/>
        <v>0</v>
      </c>
      <c r="BP70">
        <f t="shared" si="102"/>
        <v>0</v>
      </c>
    </row>
    <row r="71" spans="1:68">
      <c r="A71" t="s">
        <v>346</v>
      </c>
      <c r="B71">
        <f>1/(Cout*Resr)</f>
        <v>63775.5102040816</v>
      </c>
      <c r="C71" t="s">
        <v>304</v>
      </c>
      <c r="N71" s="7">
        <v>53</v>
      </c>
      <c r="O71" s="18">
        <f t="shared" si="62"/>
        <v>33.8844156139203</v>
      </c>
      <c r="P71" s="86" t="str">
        <f t="shared" si="50"/>
        <v>96,0576923076923</v>
      </c>
      <c r="Q71" s="4" t="str">
        <f t="shared" si="51"/>
        <v>1+0,284191499044113i</v>
      </c>
      <c r="R71" s="4">
        <f t="shared" si="63"/>
        <v>1.03959838790224</v>
      </c>
      <c r="S71" s="4">
        <f t="shared" si="64"/>
        <v>0.276891234029047</v>
      </c>
      <c r="T71" s="4" t="str">
        <f t="shared" si="52"/>
        <v>1+0,00333830433729914i</v>
      </c>
      <c r="U71" s="4">
        <f t="shared" si="65"/>
        <v>1.0000055721224</v>
      </c>
      <c r="V71" s="4">
        <f t="shared" si="66"/>
        <v>0.00333829193638726</v>
      </c>
      <c r="W71" t="str">
        <f t="shared" si="53"/>
        <v>1-0,00158493757510659i</v>
      </c>
      <c r="X71" s="4">
        <f t="shared" si="67"/>
        <v>1.00000125601277</v>
      </c>
      <c r="Y71" s="4">
        <f t="shared" si="68"/>
        <v>-0.0015849362479732</v>
      </c>
      <c r="Z71" t="str">
        <f t="shared" si="54"/>
        <v>0,999999990627317+0,00271688452671981i</v>
      </c>
      <c r="AA71" s="4">
        <f t="shared" si="69"/>
        <v>1.00000368135131</v>
      </c>
      <c r="AB71" s="4">
        <f t="shared" si="70"/>
        <v>0.00271687786735419</v>
      </c>
      <c r="AC71" s="67" t="str">
        <f t="shared" si="71"/>
        <v>88,8552682420423-25,3444658735943i</v>
      </c>
      <c r="AD71" s="68">
        <f t="shared" si="72"/>
        <v>39.3133583636353</v>
      </c>
      <c r="AE71" s="31">
        <f t="shared" si="73"/>
        <v>-15.9199048483541</v>
      </c>
      <c r="AF71" s="32" t="str">
        <f t="shared" si="74"/>
        <v>236,914774604583</v>
      </c>
      <c r="AG71" s="32" t="str">
        <f t="shared" si="55"/>
        <v>1+0,0701802616364022i</v>
      </c>
      <c r="AH71" s="32">
        <f t="shared" si="75"/>
        <v>1.00245960972169</v>
      </c>
      <c r="AI71" s="32">
        <f t="shared" si="76"/>
        <v>0.0700653820416386</v>
      </c>
      <c r="AJ71" s="32" t="str">
        <f t="shared" si="56"/>
        <v>1+0,00333830433729914i</v>
      </c>
      <c r="AK71" s="32">
        <f t="shared" si="77"/>
        <v>1.0000055721224</v>
      </c>
      <c r="AL71" s="32">
        <f t="shared" si="78"/>
        <v>0.00333829193638726</v>
      </c>
      <c r="AM71" s="32" t="str">
        <f t="shared" si="57"/>
        <v>1-0,000158687827971583i</v>
      </c>
      <c r="AN71" s="32">
        <f t="shared" si="79"/>
        <v>1.00000001259091</v>
      </c>
      <c r="AO71" s="32">
        <f t="shared" si="80"/>
        <v>-0.000158687826639567</v>
      </c>
      <c r="AP71" s="30" t="str">
        <f t="shared" si="81"/>
        <v>235,806357000308-15,7956537011721i</v>
      </c>
      <c r="AQ71" s="32">
        <f t="shared" si="82"/>
        <v>47.470553745291</v>
      </c>
      <c r="AR71" s="31">
        <f t="shared" si="83"/>
        <v>-3.8322727849466</v>
      </c>
      <c r="AS71" t="str">
        <f t="shared" si="58"/>
        <v>-0,000272527472527473</v>
      </c>
      <c r="AT71" t="str">
        <f t="shared" si="59"/>
        <v>0,0000478390934050456i</v>
      </c>
      <c r="AU71">
        <f t="shared" si="84"/>
        <v>4.78390934050456e-5</v>
      </c>
      <c r="AV71">
        <f t="shared" si="85"/>
        <v>1.5707963267949</v>
      </c>
      <c r="AW71" t="str">
        <f t="shared" si="60"/>
        <v>1+0,00244927383674783i</v>
      </c>
      <c r="AX71">
        <f t="shared" si="86"/>
        <v>1.00000299946667</v>
      </c>
      <c r="AY71">
        <f t="shared" si="87"/>
        <v>0.0024492689390813</v>
      </c>
      <c r="AZ71" t="str">
        <f t="shared" si="61"/>
        <v>1+0,117096134280263i</v>
      </c>
      <c r="BA71">
        <f t="shared" si="88"/>
        <v>1.00683241140886</v>
      </c>
      <c r="BB71">
        <f t="shared" si="89"/>
        <v>0.116565306489372</v>
      </c>
      <c r="BC71" s="30" t="str">
        <f t="shared" si="90"/>
        <v>-0,653110865061709+5,69835209665404i</v>
      </c>
      <c r="BD71" s="32">
        <f t="shared" si="91"/>
        <v>15.1716646550869</v>
      </c>
      <c r="BE71" s="31">
        <f t="shared" si="92"/>
        <v>96.5383673263881</v>
      </c>
      <c r="BF71" s="30" t="str">
        <f t="shared" si="93"/>
        <v>86,3893491425224+522,881350117029i</v>
      </c>
      <c r="BG71" s="68">
        <f t="shared" si="94"/>
        <v>54.4850230187223</v>
      </c>
      <c r="BH71" s="31">
        <f t="shared" si="95"/>
        <v>80.618462478034</v>
      </c>
      <c r="BI71" s="30" t="str">
        <f t="shared" si="103"/>
        <v>-63,9984974214262+1354,02396187004i</v>
      </c>
      <c r="BJ71" s="68">
        <f t="shared" si="97"/>
        <v>62.6422184003779</v>
      </c>
      <c r="BK71" s="31">
        <f t="shared" si="104"/>
        <v>92.7060945414415</v>
      </c>
      <c r="BL71" s="32">
        <f t="shared" si="99"/>
        <v>54.4850230187223</v>
      </c>
      <c r="BM71" s="31">
        <f t="shared" si="100"/>
        <v>80.618462478034</v>
      </c>
      <c r="BO71">
        <f t="shared" si="101"/>
        <v>0</v>
      </c>
      <c r="BP71">
        <f t="shared" si="102"/>
        <v>0</v>
      </c>
    </row>
    <row r="72" spans="1:68">
      <c r="B72">
        <f>B71/(2*PI())</f>
        <v>10150.1876971872</v>
      </c>
      <c r="C72" t="s">
        <v>111</v>
      </c>
      <c r="N72" s="7">
        <v>54</v>
      </c>
      <c r="O72" s="18">
        <f t="shared" si="62"/>
        <v>34.6736850452532</v>
      </c>
      <c r="P72" s="86" t="str">
        <f t="shared" si="50"/>
        <v>96,0576923076923</v>
      </c>
      <c r="Q72" s="4" t="str">
        <f t="shared" si="51"/>
        <v>1+0,290811169437602i</v>
      </c>
      <c r="R72" s="4">
        <f t="shared" si="63"/>
        <v>1.04142745127525</v>
      </c>
      <c r="S72" s="4">
        <f t="shared" si="64"/>
        <v>0.283005501779148</v>
      </c>
      <c r="T72" s="4" t="str">
        <f t="shared" si="52"/>
        <v>1+0,00341606343445864i</v>
      </c>
      <c r="U72" s="4">
        <f t="shared" si="65"/>
        <v>1.00000583472767</v>
      </c>
      <c r="V72" s="4">
        <f t="shared" si="66"/>
        <v>0.00341605014664634</v>
      </c>
      <c r="W72" t="str">
        <f t="shared" si="53"/>
        <v>1-0,00162185551380902i</v>
      </c>
      <c r="X72" s="4">
        <f t="shared" si="67"/>
        <v>1.00000131520679</v>
      </c>
      <c r="Y72" s="4">
        <f t="shared" si="68"/>
        <v>-0.00162185409176007</v>
      </c>
      <c r="Z72" t="str">
        <f t="shared" si="54"/>
        <v>0,999999990185596+0,00278016889702838i</v>
      </c>
      <c r="AA72" s="4">
        <f t="shared" si="69"/>
        <v>1.00000385484771</v>
      </c>
      <c r="AB72" s="4">
        <f t="shared" si="70"/>
        <v>0.00278016176139104</v>
      </c>
      <c r="AC72" s="67" t="str">
        <f t="shared" si="71"/>
        <v>88,5422967944036-25,8437987626639i</v>
      </c>
      <c r="AD72" s="68">
        <f t="shared" si="72"/>
        <v>39.2980911756261</v>
      </c>
      <c r="AE72" s="31">
        <f t="shared" si="73"/>
        <v>-16.2715125046546</v>
      </c>
      <c r="AF72" s="32" t="str">
        <f t="shared" si="74"/>
        <v>236,914774604583</v>
      </c>
      <c r="AG72" s="32" t="str">
        <f t="shared" si="55"/>
        <v>1+0,07181496992896i</v>
      </c>
      <c r="AH72" s="32">
        <f t="shared" si="75"/>
        <v>1.00257537866531</v>
      </c>
      <c r="AI72" s="32">
        <f t="shared" si="76"/>
        <v>0.0716918912967615</v>
      </c>
      <c r="AJ72" s="32" t="str">
        <f t="shared" si="56"/>
        <v>1+0,00341606343445864i</v>
      </c>
      <c r="AK72" s="32">
        <f t="shared" si="77"/>
        <v>1.00000583472767</v>
      </c>
      <c r="AL72" s="32">
        <f t="shared" si="78"/>
        <v>0.00341605014664634</v>
      </c>
      <c r="AM72" s="32" t="str">
        <f t="shared" si="57"/>
        <v>1-0,000162384142323574i</v>
      </c>
      <c r="AN72" s="32">
        <f t="shared" si="79"/>
        <v>1.0000000131843</v>
      </c>
      <c r="AO72" s="32">
        <f t="shared" si="80"/>
        <v>-0.000162384140896293</v>
      </c>
      <c r="AP72" s="30" t="str">
        <f t="shared" si="81"/>
        <v>235,754386917962-16,1598495110021i</v>
      </c>
      <c r="AQ72" s="32">
        <f t="shared" si="82"/>
        <v>47.4695530002486</v>
      </c>
      <c r="AR72" s="31">
        <f t="shared" si="83"/>
        <v>-3.92122146654045</v>
      </c>
      <c r="AS72" t="str">
        <f t="shared" si="58"/>
        <v>-0,000272527472527473</v>
      </c>
      <c r="AT72" t="str">
        <f t="shared" si="59"/>
        <v>0,0000489534090384476i</v>
      </c>
      <c r="AU72">
        <f t="shared" si="84"/>
        <v>4.89534090384476e-5</v>
      </c>
      <c r="AV72">
        <f t="shared" si="85"/>
        <v>1.5707963267949</v>
      </c>
      <c r="AW72" t="str">
        <f t="shared" si="60"/>
        <v>1+0,00250632475332064i</v>
      </c>
      <c r="AX72">
        <f t="shared" si="86"/>
        <v>1.00000314082695</v>
      </c>
      <c r="AY72">
        <f t="shared" si="87"/>
        <v>0.00250631950537729</v>
      </c>
      <c r="AZ72" t="str">
        <f t="shared" si="61"/>
        <v>1+0,119823653632159i</v>
      </c>
      <c r="BA72">
        <f t="shared" si="88"/>
        <v>1.00715326935366</v>
      </c>
      <c r="BB72">
        <f t="shared" si="89"/>
        <v>0.119255079365212</v>
      </c>
      <c r="BC72" s="30" t="str">
        <f t="shared" si="90"/>
        <v>-0,653110680414421+5,56871543949188i</v>
      </c>
      <c r="BD72" s="32">
        <f t="shared" si="91"/>
        <v>14.9744310107031</v>
      </c>
      <c r="BE72" s="31">
        <f t="shared" si="92"/>
        <v>96.6892112033549</v>
      </c>
      <c r="BF72" s="30" t="str">
        <f t="shared" si="93"/>
        <v>86,0888414799191+509,945716201445i</v>
      </c>
      <c r="BG72" s="68">
        <f t="shared" si="94"/>
        <v>54.2725221863293</v>
      </c>
      <c r="BH72" s="31">
        <f t="shared" si="95"/>
        <v>80.4176986987003</v>
      </c>
      <c r="BI72" s="30" t="str">
        <f t="shared" si="103"/>
        <v>-63,9841045788921+1323,40326466752i</v>
      </c>
      <c r="BJ72" s="68">
        <f t="shared" si="97"/>
        <v>62.4439840109517</v>
      </c>
      <c r="BK72" s="31">
        <f t="shared" si="104"/>
        <v>92.7679897368144</v>
      </c>
      <c r="BL72" s="32">
        <f t="shared" si="99"/>
        <v>54.2725221863293</v>
      </c>
      <c r="BM72" s="31">
        <f t="shared" si="100"/>
        <v>80.4176986987003</v>
      </c>
      <c r="BO72">
        <f t="shared" si="101"/>
        <v>0</v>
      </c>
      <c r="BP72">
        <f t="shared" si="102"/>
        <v>0</v>
      </c>
    </row>
    <row r="73" spans="1:68">
      <c r="A73" t="s">
        <v>347</v>
      </c>
      <c r="B73">
        <f>2*Fsw/(DC_VIN_var_DCM)</f>
        <v>1341640.78649987</v>
      </c>
      <c r="C73" t="s">
        <v>304</v>
      </c>
      <c r="N73" s="7">
        <v>55</v>
      </c>
      <c r="O73" s="18">
        <f t="shared" si="62"/>
        <v>35.4813389233576</v>
      </c>
      <c r="P73" s="86" t="str">
        <f t="shared" si="50"/>
        <v>96,0576923076923</v>
      </c>
      <c r="Q73" s="4" t="str">
        <f t="shared" si="51"/>
        <v>1+0,29758503176247i</v>
      </c>
      <c r="R73" s="4">
        <f t="shared" si="63"/>
        <v>1.0433392790119</v>
      </c>
      <c r="S73" s="4">
        <f t="shared" si="64"/>
        <v>0.289239757319062</v>
      </c>
      <c r="T73" s="4" t="str">
        <f t="shared" si="52"/>
        <v>1+0,00349563377366807i</v>
      </c>
      <c r="U73" s="4">
        <f t="shared" si="65"/>
        <v>1.00000610970908</v>
      </c>
      <c r="V73" s="4">
        <f t="shared" si="66"/>
        <v>0.00349561953552537</v>
      </c>
      <c r="W73" t="str">
        <f t="shared" si="53"/>
        <v>1-0,00165963338177268i</v>
      </c>
      <c r="X73" s="4">
        <f t="shared" si="67"/>
        <v>1.00000137719053</v>
      </c>
      <c r="Y73" s="4">
        <f t="shared" si="68"/>
        <v>-0.0016596318580199</v>
      </c>
      <c r="Z73" t="str">
        <f t="shared" si="54"/>
        <v>0,999999989723058+0,00284492734968607i</v>
      </c>
      <c r="AA73" s="4">
        <f t="shared" si="69"/>
        <v>1.00000403652072</v>
      </c>
      <c r="AB73" s="4">
        <f t="shared" si="70"/>
        <v>0.00284491970371457</v>
      </c>
      <c r="AC73" s="67" t="str">
        <f t="shared" si="71"/>
        <v>88,2169213313909-26,348951336475i</v>
      </c>
      <c r="AD73" s="68">
        <f t="shared" si="72"/>
        <v>39.2821617930901</v>
      </c>
      <c r="AE73" s="31">
        <f t="shared" si="73"/>
        <v>-16.6300249086878</v>
      </c>
      <c r="AF73" s="32" t="str">
        <f t="shared" si="74"/>
        <v>236,914774604583</v>
      </c>
      <c r="AG73" s="32" t="str">
        <f t="shared" si="55"/>
        <v>1+0,0734877554691581i</v>
      </c>
      <c r="AH73" s="32">
        <f t="shared" si="75"/>
        <v>1.00269658930501</v>
      </c>
      <c r="AI73" s="32">
        <f t="shared" si="76"/>
        <v>0.0733558934866158</v>
      </c>
      <c r="AJ73" s="32" t="str">
        <f t="shared" si="56"/>
        <v>1+0,00349563377366807i</v>
      </c>
      <c r="AK73" s="32">
        <f t="shared" si="77"/>
        <v>1.00000610970908</v>
      </c>
      <c r="AL73" s="32">
        <f t="shared" si="78"/>
        <v>0.00349561953552537</v>
      </c>
      <c r="AM73" s="32" t="str">
        <f t="shared" si="57"/>
        <v>1-0,000166166554897235i</v>
      </c>
      <c r="AN73" s="32">
        <f t="shared" si="79"/>
        <v>1.00000001380566</v>
      </c>
      <c r="AO73" s="32">
        <f t="shared" si="80"/>
        <v>-0.000166166553367875</v>
      </c>
      <c r="AP73" s="30" t="str">
        <f t="shared" si="81"/>
        <v>235,699993281242-16,5322634946457i</v>
      </c>
      <c r="AQ73" s="32">
        <f t="shared" si="82"/>
        <v>47.4685053397752</v>
      </c>
      <c r="AR73" s="31">
        <f t="shared" si="83"/>
        <v>-4.01221949522942</v>
      </c>
      <c r="AS73" t="str">
        <f t="shared" si="58"/>
        <v>-0,000272527472527473</v>
      </c>
      <c r="AT73" t="str">
        <f t="shared" si="59"/>
        <v>0,0000500936804172967i</v>
      </c>
      <c r="AU73">
        <f t="shared" si="84"/>
        <v>5.00936804172967e-5</v>
      </c>
      <c r="AV73">
        <f t="shared" si="85"/>
        <v>1.5707963267949</v>
      </c>
      <c r="AW73" t="str">
        <f t="shared" si="60"/>
        <v>1+0,00256470455645281i</v>
      </c>
      <c r="AX73">
        <f t="shared" si="86"/>
        <v>1.00000328884932</v>
      </c>
      <c r="AY73">
        <f t="shared" si="87"/>
        <v>0.00256469893318119</v>
      </c>
      <c r="AZ73" t="str">
        <f t="shared" si="61"/>
        <v>1+0,122614705071265i</v>
      </c>
      <c r="BA73">
        <f t="shared" si="88"/>
        <v>1.00748913934579</v>
      </c>
      <c r="BB73">
        <f t="shared" si="89"/>
        <v>0.1220057110935</v>
      </c>
      <c r="BC73" s="30" t="str">
        <f t="shared" si="90"/>
        <v>-0,653110487065093+5,44203138892278i</v>
      </c>
      <c r="BD73" s="32">
        <f t="shared" si="91"/>
        <v>14.7773258515782</v>
      </c>
      <c r="BE73" s="31">
        <f t="shared" si="92"/>
        <v>96.843465897557</v>
      </c>
      <c r="BF73" s="30" t="str">
        <f t="shared" si="93"/>
        <v>85,7764237801681+497,288031360581i</v>
      </c>
      <c r="BG73" s="68">
        <f t="shared" si="94"/>
        <v>54.0594876446684</v>
      </c>
      <c r="BH73" s="31">
        <f t="shared" si="95"/>
        <v>80.2134409888693</v>
      </c>
      <c r="BI73" s="30" t="str">
        <f t="shared" si="103"/>
        <v>-63,969040545347+1293,48415646868i</v>
      </c>
      <c r="BJ73" s="68">
        <f t="shared" si="97"/>
        <v>62.2458311913534</v>
      </c>
      <c r="BK73" s="31">
        <f t="shared" si="104"/>
        <v>92.8312464023276</v>
      </c>
      <c r="BL73" s="32">
        <f t="shared" si="99"/>
        <v>54.0594876446684</v>
      </c>
      <c r="BM73" s="31">
        <f t="shared" si="100"/>
        <v>80.2134409888693</v>
      </c>
      <c r="BO73">
        <f t="shared" si="101"/>
        <v>0</v>
      </c>
      <c r="BP73">
        <f t="shared" si="102"/>
        <v>0</v>
      </c>
    </row>
    <row r="74" spans="1:68">
      <c r="B74">
        <f>B73/(2*PI())</f>
        <v>213528.763025153</v>
      </c>
      <c r="C74" t="s">
        <v>111</v>
      </c>
      <c r="N74" s="7">
        <v>56</v>
      </c>
      <c r="O74" s="18">
        <f t="shared" si="62"/>
        <v>36.3078054770102</v>
      </c>
      <c r="P74" s="86" t="str">
        <f t="shared" si="50"/>
        <v>96,0576923076923</v>
      </c>
      <c r="Q74" s="4" t="str">
        <f t="shared" si="51"/>
        <v>1+0,304516677610181i</v>
      </c>
      <c r="R74" s="4">
        <f t="shared" si="63"/>
        <v>1.04533746079567</v>
      </c>
      <c r="S74" s="4">
        <f t="shared" si="64"/>
        <v>0.295595366995218</v>
      </c>
      <c r="T74" s="4" t="str">
        <f t="shared" si="52"/>
        <v>1+0,00357705754417445i</v>
      </c>
      <c r="U74" s="4">
        <f t="shared" si="65"/>
        <v>1.00000639764987</v>
      </c>
      <c r="V74" s="4">
        <f t="shared" si="66"/>
        <v>0.00357704228773495</v>
      </c>
      <c r="W74" t="str">
        <f t="shared" si="53"/>
        <v>1-0,00169829120932319i</v>
      </c>
      <c r="X74" s="4">
        <f t="shared" si="67"/>
        <v>1.00000144209548</v>
      </c>
      <c r="Y74" s="4">
        <f t="shared" si="68"/>
        <v>-0.00169828957659279</v>
      </c>
      <c r="Z74" t="str">
        <f t="shared" si="54"/>
        <v>0,99999998923872+0,00291119422048161i</v>
      </c>
      <c r="AA74" s="4">
        <f t="shared" si="69"/>
        <v>1.00000422675568</v>
      </c>
      <c r="AB74" s="4">
        <f t="shared" si="70"/>
        <v>0.00291118602767741</v>
      </c>
      <c r="AC74" s="67" t="str">
        <f t="shared" si="71"/>
        <v>87,8787554294476-26,8597201384335i</v>
      </c>
      <c r="AD74" s="68">
        <f t="shared" si="72"/>
        <v>39.2655440787439</v>
      </c>
      <c r="AE74" s="31">
        <f t="shared" si="73"/>
        <v>-16.9955210441128</v>
      </c>
      <c r="AF74" s="32" t="str">
        <f t="shared" si="74"/>
        <v>236,914774604583</v>
      </c>
      <c r="AG74" s="32" t="str">
        <f t="shared" si="55"/>
        <v>1+0,0751995051900311i</v>
      </c>
      <c r="AH74" s="32">
        <f t="shared" si="75"/>
        <v>1.00282349672354</v>
      </c>
      <c r="AI74" s="32">
        <f t="shared" si="76"/>
        <v>0.0750582340068331</v>
      </c>
      <c r="AJ74" s="32" t="str">
        <f t="shared" si="56"/>
        <v>1+0,00357705754417445i</v>
      </c>
      <c r="AK74" s="32">
        <f t="shared" si="77"/>
        <v>1.00000639764987</v>
      </c>
      <c r="AL74" s="32">
        <f t="shared" si="78"/>
        <v>0.00357704228773495</v>
      </c>
      <c r="AM74" s="32" t="str">
        <f t="shared" si="57"/>
        <v>1-0,000170037071177775i</v>
      </c>
      <c r="AN74" s="32">
        <f t="shared" si="79"/>
        <v>1.0000000144563</v>
      </c>
      <c r="AO74" s="32">
        <f t="shared" si="80"/>
        <v>-0.000170037069539037</v>
      </c>
      <c r="AP74" s="30" t="str">
        <f t="shared" si="81"/>
        <v>235,643064332519-16,9130683518349i</v>
      </c>
      <c r="AQ74" s="32">
        <f t="shared" si="82"/>
        <v>47.4674085766318</v>
      </c>
      <c r="AR74" s="31">
        <f t="shared" si="83"/>
        <v>-4.10531300651518</v>
      </c>
      <c r="AS74" t="str">
        <f t="shared" si="58"/>
        <v>-0,000272527472527473</v>
      </c>
      <c r="AT74" t="str">
        <f t="shared" si="59"/>
        <v>0,0000512605121285714i</v>
      </c>
      <c r="AU74">
        <f t="shared" si="84"/>
        <v>5.12605121285714e-5</v>
      </c>
      <c r="AV74">
        <f t="shared" si="85"/>
        <v>1.5707963267949</v>
      </c>
      <c r="AW74" t="str">
        <f t="shared" si="60"/>
        <v>1+0,00262444419988867i</v>
      </c>
      <c r="AX74">
        <f t="shared" si="86"/>
        <v>1.00000344384775</v>
      </c>
      <c r="AY74">
        <f t="shared" si="87"/>
        <v>0.0026244381744457</v>
      </c>
      <c r="AZ74" t="str">
        <f t="shared" si="61"/>
        <v>1+0,125470768449997i</v>
      </c>
      <c r="BA74">
        <f t="shared" si="88"/>
        <v>1.00784071843493</v>
      </c>
      <c r="BB74">
        <f t="shared" si="89"/>
        <v>0.124818493516557</v>
      </c>
      <c r="BC74" s="30" t="str">
        <f t="shared" si="90"/>
        <v>-0,653110284603608+5,31823277538309i</v>
      </c>
      <c r="BD74" s="32">
        <f t="shared" si="91"/>
        <v>14.5803550535449</v>
      </c>
      <c r="BE74" s="31">
        <f t="shared" si="92"/>
        <v>97.001203652691</v>
      </c>
      <c r="BF74" s="30" t="str">
        <f t="shared" si="93"/>
        <v>85,4517250086969+484,902036848748i</v>
      </c>
      <c r="BG74" s="68">
        <f t="shared" si="94"/>
        <v>53.8458991322888</v>
      </c>
      <c r="BH74" s="31">
        <f t="shared" si="95"/>
        <v>80.0056826085781</v>
      </c>
      <c r="BI74" s="30" t="str">
        <f t="shared" si="103"/>
        <v>-63,9532743700549+1264,2507669097i</v>
      </c>
      <c r="BJ74" s="68">
        <f t="shared" si="97"/>
        <v>62.0477636301767</v>
      </c>
      <c r="BK74" s="31">
        <f t="shared" si="104"/>
        <v>92.8958906461758</v>
      </c>
      <c r="BL74" s="32">
        <f t="shared" si="99"/>
        <v>53.8458991322888</v>
      </c>
      <c r="BM74" s="31">
        <f t="shared" si="100"/>
        <v>80.0056826085781</v>
      </c>
      <c r="BO74">
        <f t="shared" si="101"/>
        <v>0</v>
      </c>
      <c r="BP74">
        <f t="shared" si="102"/>
        <v>0</v>
      </c>
    </row>
    <row r="75" spans="1:68">
      <c r="N75" s="7">
        <v>57</v>
      </c>
      <c r="O75" s="18">
        <f t="shared" si="62"/>
        <v>37.1535229097173</v>
      </c>
      <c r="P75" s="86" t="str">
        <f t="shared" si="50"/>
        <v>96,0576923076923</v>
      </c>
      <c r="Q75" s="4" t="str">
        <f t="shared" si="51"/>
        <v>1+0,311609782231116i</v>
      </c>
      <c r="R75" s="4">
        <f t="shared" si="63"/>
        <v>1.04742572833692</v>
      </c>
      <c r="S75" s="4">
        <f t="shared" si="64"/>
        <v>0.302073646054669</v>
      </c>
      <c r="T75" s="4" t="str">
        <f t="shared" si="52"/>
        <v>1+0,00366037791793872i</v>
      </c>
      <c r="U75" s="4">
        <f t="shared" si="65"/>
        <v>1.00000669916081</v>
      </c>
      <c r="V75" s="4">
        <f t="shared" si="66"/>
        <v>0.00366036157037518</v>
      </c>
      <c r="W75" t="str">
        <f t="shared" si="53"/>
        <v>1-0,00173784949335243i</v>
      </c>
      <c r="X75" s="4">
        <f t="shared" si="67"/>
        <v>1.00000151005929</v>
      </c>
      <c r="Y75" s="4">
        <f t="shared" si="68"/>
        <v>-0.00173784774385043</v>
      </c>
      <c r="Z75" t="str">
        <f t="shared" si="54"/>
        <v>0,999999988731557+0,00297900464498706i</v>
      </c>
      <c r="AA75" s="4">
        <f t="shared" si="69"/>
        <v>1.0000044259561</v>
      </c>
      <c r="AB75" s="4">
        <f t="shared" si="70"/>
        <v>0.00297899586624129</v>
      </c>
      <c r="AC75" s="67" t="str">
        <f t="shared" si="71"/>
        <v>87,5274098801468-27,3758807237645i</v>
      </c>
      <c r="AD75" s="68">
        <f t="shared" si="72"/>
        <v>39.2482110905284</v>
      </c>
      <c r="AE75" s="31">
        <f t="shared" si="73"/>
        <v>-17.3680769830683</v>
      </c>
      <c r="AF75" s="32" t="str">
        <f t="shared" si="74"/>
        <v>236,914774604583</v>
      </c>
      <c r="AG75" s="32" t="str">
        <f t="shared" si="55"/>
        <v>1+0,076951126683939i</v>
      </c>
      <c r="AH75" s="32">
        <f t="shared" si="75"/>
        <v>1.0029563678934</v>
      </c>
      <c r="AI75" s="32">
        <f t="shared" si="76"/>
        <v>0.0767997759722274</v>
      </c>
      <c r="AJ75" s="32" t="str">
        <f t="shared" si="56"/>
        <v>1+0,00366037791793872i</v>
      </c>
      <c r="AK75" s="32">
        <f t="shared" si="77"/>
        <v>1.00000669916081</v>
      </c>
      <c r="AL75" s="32">
        <f t="shared" si="78"/>
        <v>0.00366036157037518</v>
      </c>
      <c r="AM75" s="32" t="str">
        <f t="shared" si="57"/>
        <v>1-0,000173997743364161i</v>
      </c>
      <c r="AN75" s="32">
        <f t="shared" si="79"/>
        <v>1.00000001513761</v>
      </c>
      <c r="AO75" s="32">
        <f t="shared" si="80"/>
        <v>-0.000173997741608221</v>
      </c>
      <c r="AP75" s="30" t="str">
        <f t="shared" si="81"/>
        <v>235,583483281612-17,3024394934017i</v>
      </c>
      <c r="AQ75" s="32">
        <f t="shared" si="82"/>
        <v>47.4662604227763</v>
      </c>
      <c r="AR75" s="31">
        <f t="shared" si="83"/>
        <v>-4.20054909752343</v>
      </c>
      <c r="AS75" t="str">
        <f t="shared" si="58"/>
        <v>-0,000272527472527473</v>
      </c>
      <c r="AT75" t="str">
        <f t="shared" si="59"/>
        <v>0,0000524545228418897i</v>
      </c>
      <c r="AU75">
        <f t="shared" si="84"/>
        <v>5.24545228418897e-5</v>
      </c>
      <c r="AV75">
        <f t="shared" si="85"/>
        <v>1.5707963267949</v>
      </c>
      <c r="AW75" t="str">
        <f t="shared" si="60"/>
        <v>1+0,00268557535837795i</v>
      </c>
      <c r="AX75">
        <f t="shared" si="86"/>
        <v>1.000003606151</v>
      </c>
      <c r="AY75">
        <f t="shared" si="87"/>
        <v>0.00268556890200074</v>
      </c>
      <c r="AZ75" t="str">
        <f t="shared" si="61"/>
        <v>1+0,128393358090963i</v>
      </c>
      <c r="BA75">
        <f t="shared" si="88"/>
        <v>1.00820873553142</v>
      </c>
      <c r="BB75">
        <f t="shared" si="89"/>
        <v>0.127694739881487</v>
      </c>
      <c r="BC75" s="30" t="str">
        <f t="shared" si="90"/>
        <v>-0,653110072600547+5,19725395920599i</v>
      </c>
      <c r="BD75" s="32">
        <f t="shared" si="91"/>
        <v>14.3835247524413</v>
      </c>
      <c r="BE75" s="31">
        <f t="shared" si="92"/>
        <v>97.1624978975539</v>
      </c>
      <c r="BF75" s="30" t="str">
        <f t="shared" si="93"/>
        <v>85,1143714569755+472,78164098564i</v>
      </c>
      <c r="BG75" s="68">
        <f t="shared" si="94"/>
        <v>53.6317358429697</v>
      </c>
      <c r="BH75" s="31">
        <f t="shared" si="95"/>
        <v>79.7944209144855</v>
      </c>
      <c r="BI75" s="30" t="str">
        <f t="shared" si="103"/>
        <v>-63,9367737085393+1235,6875887226i</v>
      </c>
      <c r="BJ75" s="68">
        <f t="shared" si="97"/>
        <v>61.8497851752176</v>
      </c>
      <c r="BK75" s="31">
        <f t="shared" si="104"/>
        <v>92.9619488000305</v>
      </c>
      <c r="BL75" s="32">
        <f t="shared" si="99"/>
        <v>53.6317358429697</v>
      </c>
      <c r="BM75" s="31">
        <f t="shared" si="100"/>
        <v>79.7944209144855</v>
      </c>
      <c r="BO75">
        <f t="shared" si="101"/>
        <v>0</v>
      </c>
      <c r="BP75">
        <f t="shared" si="102"/>
        <v>0</v>
      </c>
    </row>
    <row r="76" spans="1:68">
      <c r="N76" s="7">
        <v>58</v>
      </c>
      <c r="O76" s="18">
        <f t="shared" si="62"/>
        <v>38.0189396320561</v>
      </c>
      <c r="P76" s="86" t="str">
        <f t="shared" si="50"/>
        <v>96,0576923076923</v>
      </c>
      <c r="Q76" s="4" t="str">
        <f t="shared" si="51"/>
        <v>1+0,318868106483232i</v>
      </c>
      <c r="R76" s="4">
        <f t="shared" si="63"/>
        <v>1.049607959827</v>
      </c>
      <c r="S76" s="4">
        <f t="shared" si="64"/>
        <v>0.3086758535254</v>
      </c>
      <c r="T76" s="4" t="str">
        <f t="shared" si="52"/>
        <v>1+0,00374563907252591i</v>
      </c>
      <c r="U76" s="4">
        <f t="shared" si="65"/>
        <v>1.00000701488143</v>
      </c>
      <c r="V76" s="4">
        <f t="shared" si="66"/>
        <v>0.00374562155580262</v>
      </c>
      <c r="W76" t="str">
        <f t="shared" si="53"/>
        <v>1-0,0017783292081862i</v>
      </c>
      <c r="X76" s="4">
        <f t="shared" si="67"/>
        <v>1.00000158122614</v>
      </c>
      <c r="Y76" s="4">
        <f t="shared" si="68"/>
        <v>-0.00177832733356119</v>
      </c>
      <c r="Z76" t="str">
        <f t="shared" si="54"/>
        <v>0,999999988200492+0,00304839457718707i</v>
      </c>
      <c r="AA76" s="4">
        <f t="shared" si="69"/>
        <v>1.0000046345445</v>
      </c>
      <c r="AB76" s="4">
        <f t="shared" si="70"/>
        <v>0.00304838517059386</v>
      </c>
      <c r="AC76" s="67" t="str">
        <f t="shared" si="71"/>
        <v>87,1624935868026-27,8971867792214i</v>
      </c>
      <c r="AD76" s="68">
        <f t="shared" si="72"/>
        <v>39.230135076752</v>
      </c>
      <c r="AE76" s="31">
        <f t="shared" si="73"/>
        <v>-17.7477655932142</v>
      </c>
      <c r="AF76" s="32" t="str">
        <f t="shared" si="74"/>
        <v>236,914774604583</v>
      </c>
      <c r="AG76" s="32" t="str">
        <f t="shared" si="55"/>
        <v>1+0,0787435486837833i</v>
      </c>
      <c r="AH76" s="32">
        <f t="shared" si="75"/>
        <v>1.00309548222456</v>
      </c>
      <c r="AI76" s="32">
        <f t="shared" si="76"/>
        <v>0.0785814004914315</v>
      </c>
      <c r="AJ76" s="32" t="str">
        <f t="shared" si="56"/>
        <v>1+0,00374563907252591i</v>
      </c>
      <c r="AK76" s="32">
        <f t="shared" si="77"/>
        <v>1.00000701488143</v>
      </c>
      <c r="AL76" s="32">
        <f t="shared" si="78"/>
        <v>0.00374562155580262</v>
      </c>
      <c r="AM76" s="32" t="str">
        <f t="shared" si="57"/>
        <v>1-0,000178050671457211i</v>
      </c>
      <c r="AN76" s="32">
        <f t="shared" si="79"/>
        <v>1.00000001585102</v>
      </c>
      <c r="AO76" s="32">
        <f t="shared" si="80"/>
        <v>-0.000178050669575688</v>
      </c>
      <c r="AP76" s="30" t="str">
        <f t="shared" si="81"/>
        <v>235,521128090786-17,7005550139552i</v>
      </c>
      <c r="AQ76" s="32">
        <f t="shared" si="82"/>
        <v>47.4650584848301</v>
      </c>
      <c r="AR76" s="31">
        <f t="shared" si="83"/>
        <v>-4.29797584149172</v>
      </c>
      <c r="AS76" t="str">
        <f t="shared" si="58"/>
        <v>-0,000272527472527473</v>
      </c>
      <c r="AT76" t="str">
        <f t="shared" si="59"/>
        <v>0,0000536763456375364i</v>
      </c>
      <c r="AU76">
        <f t="shared" si="84"/>
        <v>5.36763456375364e-5</v>
      </c>
      <c r="AV76">
        <f t="shared" si="85"/>
        <v>1.5707963267949</v>
      </c>
      <c r="AW76" t="str">
        <f t="shared" si="60"/>
        <v>1+0,00274813044447003i</v>
      </c>
      <c r="AX76">
        <f t="shared" si="86"/>
        <v>1.00000377610334</v>
      </c>
      <c r="AY76">
        <f t="shared" si="87"/>
        <v>0.00274812352633862</v>
      </c>
      <c r="AZ76" t="str">
        <f t="shared" si="61"/>
        <v>1+0,131384023589875i</v>
      </c>
      <c r="BA76">
        <f t="shared" si="88"/>
        <v>1.00859395281484</v>
      </c>
      <c r="BB76">
        <f t="shared" si="89"/>
        <v>0.130635784753975</v>
      </c>
      <c r="BC76" s="30" t="str">
        <f t="shared" si="90"/>
        <v>-0,65310985060623+5,07903079581816i</v>
      </c>
      <c r="BD76" s="32">
        <f t="shared" si="91"/>
        <v>14.1868413547908</v>
      </c>
      <c r="BE76" s="31">
        <f t="shared" si="92"/>
        <v>97.3274232401424</v>
      </c>
      <c r="BF76" s="30" t="str">
        <f t="shared" si="93"/>
        <v>84,7639876034136+460,920916657385i</v>
      </c>
      <c r="BG76" s="68">
        <f t="shared" si="94"/>
        <v>53.4169764315428</v>
      </c>
      <c r="BH76" s="31">
        <f t="shared" si="95"/>
        <v>79.5796576469282</v>
      </c>
      <c r="BI76" s="30" t="str">
        <f t="shared" si="103"/>
        <v>-63,919504763032+1207,77946947975i</v>
      </c>
      <c r="BJ76" s="68">
        <f t="shared" si="97"/>
        <v>61.6518998396209</v>
      </c>
      <c r="BK76" s="31">
        <f t="shared" si="104"/>
        <v>93.0294473986507</v>
      </c>
      <c r="BL76" s="32">
        <f t="shared" si="99"/>
        <v>53.4169764315428</v>
      </c>
      <c r="BM76" s="31">
        <f t="shared" si="100"/>
        <v>79.5796576469282</v>
      </c>
      <c r="BO76">
        <f t="shared" si="101"/>
        <v>0</v>
      </c>
      <c r="BP76">
        <f t="shared" si="102"/>
        <v>0</v>
      </c>
    </row>
    <row r="77" spans="1:68">
      <c r="A77" s="30" t="str">
        <f>"Crossover Frequency = "&amp;B77</f>
        <v>Crossover Frequency = 7,6 kHz</v>
      </c>
      <c r="B77" s="32" t="str">
        <f>ROUND(D77,1)&amp;" kHz"</f>
        <v>7,6 kHz</v>
      </c>
      <c r="C77" s="91"/>
      <c r="D77" s="92">
        <f>BP12</f>
        <v>7.58577575029184</v>
      </c>
      <c r="N77" s="7">
        <v>59</v>
      </c>
      <c r="O77" s="18">
        <f t="shared" si="62"/>
        <v>38.9045144994281</v>
      </c>
      <c r="P77" s="86" t="str">
        <f t="shared" si="50"/>
        <v>96,0576923076923</v>
      </c>
      <c r="Q77" s="4" t="str">
        <f t="shared" si="51"/>
        <v>1+0,326295498826125i</v>
      </c>
      <c r="R77" s="4">
        <f t="shared" si="63"/>
        <v>1.05188818443511</v>
      </c>
      <c r="S77" s="4">
        <f t="shared" si="64"/>
        <v>0.31540318688811</v>
      </c>
      <c r="T77" s="4" t="str">
        <f t="shared" si="52"/>
        <v>1+0,00383288621452875i</v>
      </c>
      <c r="U77" s="4">
        <f t="shared" si="65"/>
        <v>1.00000734548139</v>
      </c>
      <c r="V77" s="4">
        <f t="shared" si="66"/>
        <v>0.00383286744502902</v>
      </c>
      <c r="W77" t="str">
        <f t="shared" si="53"/>
        <v>1-0,00181975181670512i</v>
      </c>
      <c r="X77" s="4">
        <f t="shared" si="67"/>
        <v>1.00000165574697</v>
      </c>
      <c r="Y77" s="4">
        <f t="shared" si="68"/>
        <v>-0.00181974980800841</v>
      </c>
      <c r="Z77" t="str">
        <f t="shared" si="54"/>
        <v>0,999999987644398+0,00311940080854219i</v>
      </c>
      <c r="AA77" s="4">
        <f t="shared" si="69"/>
        <v>1.00000485296332</v>
      </c>
      <c r="AB77" s="4">
        <f t="shared" si="70"/>
        <v>0.00311939072919861</v>
      </c>
      <c r="AC77" s="67" t="str">
        <f t="shared" si="71"/>
        <v>86,7836145492325-28,423369258716i</v>
      </c>
      <c r="AD77" s="68">
        <f t="shared" si="72"/>
        <v>39.2112874731848</v>
      </c>
      <c r="AE77" s="31">
        <f t="shared" si="73"/>
        <v>-18.1346562328353</v>
      </c>
      <c r="AF77" s="32" t="str">
        <f t="shared" si="74"/>
        <v>236,914774604583</v>
      </c>
      <c r="AG77" s="32" t="str">
        <f t="shared" si="55"/>
        <v>1+0,0805777215554338i</v>
      </c>
      <c r="AH77" s="32">
        <f t="shared" si="75"/>
        <v>1.00324113213677</v>
      </c>
      <c r="AI77" s="32">
        <f t="shared" si="76"/>
        <v>0.0804040069384156</v>
      </c>
      <c r="AJ77" s="32" t="str">
        <f t="shared" si="56"/>
        <v>1+0,00383288621452875i</v>
      </c>
      <c r="AK77" s="32">
        <f t="shared" si="77"/>
        <v>1.00000734548139</v>
      </c>
      <c r="AL77" s="32">
        <f t="shared" si="78"/>
        <v>0.00383286744502902</v>
      </c>
      <c r="AM77" s="32" t="str">
        <f t="shared" si="57"/>
        <v>1-0,000182198004373047i</v>
      </c>
      <c r="AN77" s="32">
        <f t="shared" si="79"/>
        <v>1.00000001659806</v>
      </c>
      <c r="AO77" s="32">
        <f t="shared" si="80"/>
        <v>-0.000182198002356959</v>
      </c>
      <c r="AP77" s="30" t="str">
        <f t="shared" si="81"/>
        <v>235,455871251689-18,1075956578501i</v>
      </c>
      <c r="AQ77" s="32">
        <f t="shared" si="82"/>
        <v>47.4638002593506</v>
      </c>
      <c r="AR77" s="31">
        <f t="shared" si="83"/>
        <v>-4.39764230204933</v>
      </c>
      <c r="AS77" t="str">
        <f t="shared" si="58"/>
        <v>-0,000272527472527473</v>
      </c>
      <c r="AT77" t="str">
        <f t="shared" si="59"/>
        <v>0,0000549266283421307i</v>
      </c>
      <c r="AU77">
        <f t="shared" si="84"/>
        <v>5.49266283421307e-5</v>
      </c>
      <c r="AV77">
        <f t="shared" si="85"/>
        <v>1.5707963267949</v>
      </c>
      <c r="AW77" t="str">
        <f t="shared" si="60"/>
        <v>1+0,00281214262569958i</v>
      </c>
      <c r="AX77">
        <f t="shared" si="86"/>
        <v>1.00000395406526</v>
      </c>
      <c r="AY77">
        <f t="shared" si="87"/>
        <v>0.0028121352127898</v>
      </c>
      <c r="AZ77" t="str">
        <f t="shared" si="61"/>
        <v>1+0,134444350637169i</v>
      </c>
      <c r="BA77">
        <f t="shared" si="88"/>
        <v>1.00899716720031</v>
      </c>
      <c r="BB77">
        <f t="shared" si="89"/>
        <v>0.133642983892529</v>
      </c>
      <c r="BC77" s="30" t="str">
        <f t="shared" si="90"/>
        <v>-0,65310961814981+4,96350060172966i</v>
      </c>
      <c r="BD77" s="32">
        <f t="shared" si="91"/>
        <v>13.9903115488427</v>
      </c>
      <c r="BE77" s="31">
        <f t="shared" si="92"/>
        <v>97.4960554594638</v>
      </c>
      <c r="BF77" s="30" t="str">
        <f t="shared" si="93"/>
        <v>84,4001970589116+449,314098878481i</v>
      </c>
      <c r="BG77" s="68">
        <f t="shared" si="94"/>
        <v>53.2015990220276</v>
      </c>
      <c r="BH77" s="31">
        <f t="shared" si="95"/>
        <v>79.3613992266285</v>
      </c>
      <c r="BI77" s="30" t="str">
        <f t="shared" si="103"/>
        <v>-63,9014322207051+1180,51160352425i</v>
      </c>
      <c r="BJ77" s="68">
        <f t="shared" si="97"/>
        <v>61.4541118081934</v>
      </c>
      <c r="BK77" s="31">
        <f t="shared" si="104"/>
        <v>93.0984131574145</v>
      </c>
      <c r="BL77" s="32">
        <f t="shared" si="99"/>
        <v>53.2015990220276</v>
      </c>
      <c r="BM77" s="31">
        <f t="shared" si="100"/>
        <v>79.3613992266285</v>
      </c>
      <c r="BO77">
        <f t="shared" si="101"/>
        <v>0</v>
      </c>
      <c r="BP77">
        <f t="shared" si="102"/>
        <v>0</v>
      </c>
    </row>
    <row r="78" spans="1:68">
      <c r="A78" s="30" t="str">
        <f>"Phase Margin = "&amp;B78</f>
        <v>Phase Margin = 46°</v>
      </c>
      <c r="B78" s="93" t="str">
        <f>ROUND(D78,0)&amp;"°"</f>
        <v>46°</v>
      </c>
      <c r="C78" s="94"/>
      <c r="D78" s="18">
        <f>BP14</f>
        <v>45.8943512585297</v>
      </c>
      <c r="N78" s="7">
        <v>60</v>
      </c>
      <c r="O78" s="18">
        <f t="shared" si="62"/>
        <v>39.8107170553498</v>
      </c>
      <c r="P78" s="86" t="str">
        <f t="shared" si="50"/>
        <v>96,0576923076923</v>
      </c>
      <c r="Q78" s="4" t="str">
        <f t="shared" si="51"/>
        <v>1+0,333895897361528i</v>
      </c>
      <c r="R78" s="4">
        <f t="shared" si="63"/>
        <v>1.05427058683948</v>
      </c>
      <c r="S78" s="4">
        <f t="shared" si="64"/>
        <v>0.322256776544057</v>
      </c>
      <c r="T78" s="4" t="str">
        <f t="shared" si="52"/>
        <v>1+0,00392216560353678i</v>
      </c>
      <c r="U78" s="4">
        <f t="shared" si="65"/>
        <v>1.00000769166193</v>
      </c>
      <c r="V78" s="4">
        <f t="shared" si="66"/>
        <v>0.00392214549166383</v>
      </c>
      <c r="W78" t="str">
        <f t="shared" si="53"/>
        <v>1-0,00186213928172452i</v>
      </c>
      <c r="X78" s="4">
        <f t="shared" si="67"/>
        <v>1.00000173377985</v>
      </c>
      <c r="Y78" s="4">
        <f t="shared" si="68"/>
        <v>-0.00186213712936742</v>
      </c>
      <c r="Z78" t="str">
        <f t="shared" si="54"/>
        <v>0,999999987062096+0,00319206098749614i</v>
      </c>
      <c r="AA78" s="4">
        <f t="shared" si="69"/>
        <v>1.00000508167586</v>
      </c>
      <c r="AB78" s="4">
        <f t="shared" si="70"/>
        <v>0.00319205018728788</v>
      </c>
      <c r="AC78" s="67" t="str">
        <f t="shared" si="71"/>
        <v>86,3903809398245-28,9541355417316i</v>
      </c>
      <c r="AD78" s="68">
        <f t="shared" si="72"/>
        <v>39.1916389022914</v>
      </c>
      <c r="AE78" s="31">
        <f t="shared" si="73"/>
        <v>-18.5288144342693</v>
      </c>
      <c r="AF78" s="32" t="str">
        <f t="shared" si="74"/>
        <v>236,914774604583</v>
      </c>
      <c r="AG78" s="32" t="str">
        <f t="shared" si="55"/>
        <v>1+0,0824546178016255i</v>
      </c>
      <c r="AH78" s="32">
        <f t="shared" si="75"/>
        <v>1.00339362365764</v>
      </c>
      <c r="AI78" s="32">
        <f t="shared" si="76"/>
        <v>0.0822685132201744</v>
      </c>
      <c r="AJ78" s="32" t="str">
        <f t="shared" si="56"/>
        <v>1+0,00392216560353678i</v>
      </c>
      <c r="AK78" s="32">
        <f t="shared" si="77"/>
        <v>1.00000769166193</v>
      </c>
      <c r="AL78" s="32">
        <f t="shared" si="78"/>
        <v>0.00392214549166383</v>
      </c>
      <c r="AM78" s="32" t="str">
        <f t="shared" si="57"/>
        <v>1-0,000186441941082478i</v>
      </c>
      <c r="AN78" s="32">
        <f t="shared" si="79"/>
        <v>1.0000000173803</v>
      </c>
      <c r="AO78" s="32">
        <f t="shared" si="80"/>
        <v>-0.0001864419389222</v>
      </c>
      <c r="AP78" s="30" t="str">
        <f t="shared" si="81"/>
        <v>235,387579554056-18,523744777904i</v>
      </c>
      <c r="AQ78" s="32">
        <f t="shared" si="82"/>
        <v>47.4624831279051</v>
      </c>
      <c r="AR78" s="31">
        <f t="shared" si="83"/>
        <v>-4.49959854724808</v>
      </c>
      <c r="AS78" t="str">
        <f t="shared" si="58"/>
        <v>-0,000272527472527473</v>
      </c>
      <c r="AT78" t="str">
        <f t="shared" si="59"/>
        <v>0,0000562060338721118i</v>
      </c>
      <c r="AU78">
        <f t="shared" si="84"/>
        <v>5.62060338721118e-5</v>
      </c>
      <c r="AV78">
        <f t="shared" si="85"/>
        <v>1.5707963267949</v>
      </c>
      <c r="AW78" t="str">
        <f t="shared" si="60"/>
        <v>1+0,00287764584217238i</v>
      </c>
      <c r="AX78">
        <f t="shared" si="86"/>
        <v>1.00000414041423</v>
      </c>
      <c r="AY78">
        <f t="shared" si="87"/>
        <v>0.00287763789909821</v>
      </c>
      <c r="AZ78" t="str">
        <f t="shared" si="61"/>
        <v>1+0,137575961858752i</v>
      </c>
      <c r="BA78">
        <f t="shared" si="88"/>
        <v>1.00941921186461</v>
      </c>
      <c r="BB78">
        <f t="shared" si="89"/>
        <v>0.136717714080046</v>
      </c>
      <c r="BC78" s="30" t="str">
        <f t="shared" si="90"/>
        <v>-0,653109374738235+4,85060212129827i</v>
      </c>
      <c r="BD78" s="32">
        <f t="shared" si="91"/>
        <v>13.7939423159763</v>
      </c>
      <c r="BE78" s="31">
        <f t="shared" si="92"/>
        <v>97.6684714948778</v>
      </c>
      <c r="BF78" s="30" t="str">
        <f t="shared" si="93"/>
        <v>84,0226236000742+437,955582406225i</v>
      </c>
      <c r="BG78" s="68">
        <f t="shared" si="94"/>
        <v>52.9855812182677</v>
      </c>
      <c r="BH78" s="31">
        <f t="shared" si="95"/>
        <v>79.1396570606085</v>
      </c>
      <c r="BI78" s="30" t="str">
        <f t="shared" si="103"/>
        <v>-63,8825191896072+1153,86952408188i</v>
      </c>
      <c r="BJ78" s="68">
        <f t="shared" si="97"/>
        <v>61.2564254438814</v>
      </c>
      <c r="BK78" s="31">
        <f t="shared" si="104"/>
        <v>93.1688729476297</v>
      </c>
      <c r="BL78" s="32">
        <f t="shared" si="99"/>
        <v>52.9855812182677</v>
      </c>
      <c r="BM78" s="31">
        <f t="shared" si="100"/>
        <v>79.1396570606085</v>
      </c>
      <c r="BO78">
        <f t="shared" si="101"/>
        <v>0</v>
      </c>
      <c r="BP78">
        <f t="shared" si="102"/>
        <v>0</v>
      </c>
    </row>
    <row r="79" spans="1:68">
      <c r="N79" s="7">
        <v>61</v>
      </c>
      <c r="O79" s="18">
        <f t="shared" si="62"/>
        <v>40.7380277804113</v>
      </c>
      <c r="P79" s="86" t="str">
        <f t="shared" si="50"/>
        <v>96,0576923076923</v>
      </c>
      <c r="Q79" s="4" t="str">
        <f t="shared" si="51"/>
        <v>1+0,341673331921344i</v>
      </c>
      <c r="R79" s="4">
        <f t="shared" si="63"/>
        <v>1.05675951178413</v>
      </c>
      <c r="S79" s="4">
        <f t="shared" si="64"/>
        <v>0.329237680085308</v>
      </c>
      <c r="T79" s="4" t="str">
        <f t="shared" si="52"/>
        <v>1+0,00401352457666379i</v>
      </c>
      <c r="U79" s="4">
        <f t="shared" si="65"/>
        <v>1.00000805415733</v>
      </c>
      <c r="V79" s="4">
        <f t="shared" si="66"/>
        <v>0.00401350302641303</v>
      </c>
      <c r="W79" t="str">
        <f t="shared" si="53"/>
        <v>1-0,00190551407763942i</v>
      </c>
      <c r="X79" s="4">
        <f t="shared" si="67"/>
        <v>1.0000018154903</v>
      </c>
      <c r="Y79" s="4">
        <f t="shared" si="68"/>
        <v>-0.00190551177134747</v>
      </c>
      <c r="Z79" t="str">
        <f t="shared" si="54"/>
        <v>0,999999986452352+0,00326641363943758i</v>
      </c>
      <c r="AA79" s="4">
        <f t="shared" si="69"/>
        <v>1.00000532116723</v>
      </c>
      <c r="AB79" s="4">
        <f t="shared" si="70"/>
        <v>0.00326640206680925</v>
      </c>
      <c r="AC79" s="67" t="str">
        <f t="shared" si="71"/>
        <v>85,9824022736855-29,4891686220127i</v>
      </c>
      <c r="AD79" s="68">
        <f t="shared" si="72"/>
        <v>39.1711591747938</v>
      </c>
      <c r="AE79" s="31">
        <f t="shared" si="73"/>
        <v>-18.9303015760218</v>
      </c>
      <c r="AF79" s="32" t="str">
        <f t="shared" si="74"/>
        <v>236,914774604583</v>
      </c>
      <c r="AG79" s="32" t="str">
        <f t="shared" si="55"/>
        <v>1+0,084375232577591i</v>
      </c>
      <c r="AH79" s="32">
        <f t="shared" si="75"/>
        <v>1.00355327704737</v>
      </c>
      <c r="AI79" s="32">
        <f t="shared" si="76"/>
        <v>0.084175856039816</v>
      </c>
      <c r="AJ79" s="32" t="str">
        <f t="shared" si="56"/>
        <v>1+0,00401352457666379i</v>
      </c>
      <c r="AK79" s="32">
        <f t="shared" si="77"/>
        <v>1.00000805415733</v>
      </c>
      <c r="AL79" s="32">
        <f t="shared" si="78"/>
        <v>0.00401350302641303</v>
      </c>
      <c r="AM79" s="32" t="str">
        <f t="shared" si="57"/>
        <v>1-0,00019078473177692i</v>
      </c>
      <c r="AN79" s="32">
        <f t="shared" si="79"/>
        <v>1.00000001819941</v>
      </c>
      <c r="AO79" s="32">
        <f t="shared" si="80"/>
        <v>-0.000190784729462141</v>
      </c>
      <c r="AP79" s="30" t="str">
        <f t="shared" si="81"/>
        <v>235,316113845965-18,9491882862849i</v>
      </c>
      <c r="AQ79" s="32">
        <f t="shared" si="82"/>
        <v>47.4611043519345</v>
      </c>
      <c r="AR79" s="31">
        <f t="shared" si="83"/>
        <v>-4.60389566329954</v>
      </c>
      <c r="AS79" t="str">
        <f t="shared" si="58"/>
        <v>-0,000272527472527473</v>
      </c>
      <c r="AT79" t="str">
        <f t="shared" si="59"/>
        <v>0,0000575152405852267i</v>
      </c>
      <c r="AU79">
        <f t="shared" si="84"/>
        <v>5.75152405852267e-5</v>
      </c>
      <c r="AV79">
        <f t="shared" si="85"/>
        <v>1.5707963267949</v>
      </c>
      <c r="AW79" t="str">
        <f t="shared" si="60"/>
        <v>1+0,00294467482456084i</v>
      </c>
      <c r="AX79">
        <f t="shared" si="86"/>
        <v>1.00000433554551</v>
      </c>
      <c r="AY79">
        <f t="shared" si="87"/>
        <v>0.00294466631340552</v>
      </c>
      <c r="AZ79" t="str">
        <f t="shared" si="61"/>
        <v>1+0,140780517676345i</v>
      </c>
      <c r="BA79">
        <f t="shared" si="88"/>
        <v>1.00986095783391</v>
      </c>
      <c r="BB79">
        <f t="shared" si="89"/>
        <v>0.139861372909423</v>
      </c>
      <c r="BC79" s="30" t="str">
        <f t="shared" si="90"/>
        <v>-0,653109119855218+4,74027549425087i</v>
      </c>
      <c r="BD79" s="32">
        <f t="shared" si="91"/>
        <v>13.5977409424727</v>
      </c>
      <c r="BE79" s="31">
        <f t="shared" si="92"/>
        <v>97.8447494327828</v>
      </c>
      <c r="BF79" s="30" t="str">
        <f t="shared" si="93"/>
        <v>83,6308922927545+426,839919398756i</v>
      </c>
      <c r="BG79" s="68">
        <f t="shared" si="94"/>
        <v>52.7689001172665</v>
      </c>
      <c r="BH79" s="31">
        <f t="shared" si="95"/>
        <v>78.914447856761</v>
      </c>
      <c r="BI79" s="30" t="str">
        <f t="shared" si="103"/>
        <v>-63,8627271322665+1127,83909555i</v>
      </c>
      <c r="BJ79" s="68">
        <f t="shared" si="97"/>
        <v>61.0588452944072</v>
      </c>
      <c r="BK79" s="31">
        <f t="shared" si="104"/>
        <v>93.2408537694833</v>
      </c>
      <c r="BL79" s="32">
        <f t="shared" si="99"/>
        <v>52.7689001172665</v>
      </c>
      <c r="BM79" s="31">
        <f t="shared" si="100"/>
        <v>78.914447856761</v>
      </c>
      <c r="BO79">
        <f t="shared" si="101"/>
        <v>0</v>
      </c>
      <c r="BP79">
        <f t="shared" si="102"/>
        <v>0</v>
      </c>
    </row>
    <row r="80" spans="1:68">
      <c r="N80" s="7">
        <v>62</v>
      </c>
      <c r="O80" s="18">
        <f t="shared" si="62"/>
        <v>41.6869383470336</v>
      </c>
      <c r="P80" s="86" t="str">
        <f t="shared" si="50"/>
        <v>96,0576923076923</v>
      </c>
      <c r="Q80" s="4" t="str">
        <f t="shared" si="51"/>
        <v>1+0,349631926204328i</v>
      </c>
      <c r="R80" s="4">
        <f t="shared" si="63"/>
        <v>1.05935946865139</v>
      </c>
      <c r="S80" s="4">
        <f t="shared" si="64"/>
        <v>0.336346876375585</v>
      </c>
      <c r="T80" s="4" t="str">
        <f t="shared" si="52"/>
        <v>1+0,00410701157364665i</v>
      </c>
      <c r="U80" s="4">
        <f t="shared" si="65"/>
        <v>1.00000843373647</v>
      </c>
      <c r="V80" s="4">
        <f t="shared" si="66"/>
        <v>0.00410698848214745</v>
      </c>
      <c r="W80" t="str">
        <f t="shared" si="53"/>
        <v>1-0,00194989920234074i</v>
      </c>
      <c r="X80" s="4">
        <f t="shared" si="67"/>
        <v>1.00000190105164</v>
      </c>
      <c r="Y80" s="4">
        <f t="shared" si="68"/>
        <v>-0.00194989673110464</v>
      </c>
      <c r="Z80" t="str">
        <f t="shared" si="54"/>
        <v>0,999999985813871+0,00334249818712675i</v>
      </c>
      <c r="AA80" s="4">
        <f t="shared" si="69"/>
        <v>1.00000557194541</v>
      </c>
      <c r="AB80" s="4">
        <f t="shared" si="70"/>
        <v>0.00334248578683581</v>
      </c>
      <c r="AC80" s="67" t="str">
        <f t="shared" si="71"/>
        <v>85,5592906751894-30,0281263346549i</v>
      </c>
      <c r="AD80" s="68">
        <f t="shared" si="72"/>
        <v>39.1498172937627</v>
      </c>
      <c r="AE80" s="31">
        <f t="shared" si="73"/>
        <v>-19.3391745440404</v>
      </c>
      <c r="AF80" s="32" t="str">
        <f t="shared" si="74"/>
        <v>236,914774604583</v>
      </c>
      <c r="AG80" s="32" t="str">
        <f t="shared" si="55"/>
        <v>1+0,0863405842187078i</v>
      </c>
      <c r="AH80" s="32">
        <f t="shared" si="75"/>
        <v>1.0037204274514</v>
      </c>
      <c r="AI80" s="32">
        <f t="shared" si="76"/>
        <v>0.0861269911542267</v>
      </c>
      <c r="AJ80" s="32" t="str">
        <f t="shared" si="56"/>
        <v>1+0,00410701157364665i</v>
      </c>
      <c r="AK80" s="32">
        <f t="shared" si="77"/>
        <v>1.00000843373647</v>
      </c>
      <c r="AL80" s="32">
        <f t="shared" si="78"/>
        <v>0.00410698848214745</v>
      </c>
      <c r="AM80" s="32" t="str">
        <f t="shared" si="57"/>
        <v>1-0,000195228679061486i</v>
      </c>
      <c r="AN80" s="32">
        <f t="shared" si="79"/>
        <v>1.00000001905712</v>
      </c>
      <c r="AO80" s="32">
        <f t="shared" si="80"/>
        <v>-0.000195228676581155</v>
      </c>
      <c r="AP80" s="30" t="str">
        <f t="shared" si="81"/>
        <v>235,241328785513-19,3841145969536i</v>
      </c>
      <c r="AQ80" s="32">
        <f t="shared" si="82"/>
        <v>47.4596610674044</v>
      </c>
      <c r="AR80" s="31">
        <f t="shared" si="83"/>
        <v>-4.7105857679699</v>
      </c>
      <c r="AS80" t="str">
        <f t="shared" si="58"/>
        <v>-0,000272527472527473</v>
      </c>
      <c r="AT80" t="str">
        <f t="shared" si="59"/>
        <v>0,0000588549426402041i</v>
      </c>
      <c r="AU80">
        <f t="shared" si="84"/>
        <v>5.88549426402041e-5</v>
      </c>
      <c r="AV80">
        <f t="shared" si="85"/>
        <v>1.5707963267949</v>
      </c>
      <c r="AW80" t="str">
        <f t="shared" si="60"/>
        <v>1+0,00301326511251867i</v>
      </c>
      <c r="AX80">
        <f t="shared" si="86"/>
        <v>1.00000453987301</v>
      </c>
      <c r="AY80">
        <f t="shared" si="87"/>
        <v>0.00301325599265367</v>
      </c>
      <c r="AZ80" t="str">
        <f t="shared" si="61"/>
        <v>1+0,14405971718786i</v>
      </c>
      <c r="BA80">
        <f t="shared" si="88"/>
        <v>1.01032331563527</v>
      </c>
      <c r="BB80">
        <f t="shared" si="89"/>
        <v>0.143075378519735</v>
      </c>
      <c r="BC80" s="30" t="str">
        <f t="shared" si="90"/>
        <v>-0,653108852960145+4,63246222394471i</v>
      </c>
      <c r="BD80" s="32">
        <f t="shared" si="91"/>
        <v>13.4017150316579</v>
      </c>
      <c r="BE80" s="31">
        <f t="shared" si="92"/>
        <v>98.024968490446</v>
      </c>
      <c r="BF80" s="30" t="str">
        <f t="shared" si="93"/>
        <v>83,2246307081716+415,961817107289i</v>
      </c>
      <c r="BG80" s="68">
        <f t="shared" si="94"/>
        <v>52.5515323254206</v>
      </c>
      <c r="BH80" s="31">
        <f t="shared" si="95"/>
        <v>78.6857939464056</v>
      </c>
      <c r="BI80" s="30" t="str">
        <f t="shared" si="103"/>
        <v>-63,8420157969239+1102,40650595951i</v>
      </c>
      <c r="BJ80" s="68">
        <f t="shared" si="97"/>
        <v>60.8613760990623</v>
      </c>
      <c r="BK80" s="31">
        <f t="shared" si="104"/>
        <v>93.3143827224761</v>
      </c>
      <c r="BL80" s="32">
        <f t="shared" si="99"/>
        <v>52.5515323254206</v>
      </c>
      <c r="BM80" s="31">
        <f t="shared" si="100"/>
        <v>78.6857939464056</v>
      </c>
      <c r="BO80">
        <f t="shared" si="101"/>
        <v>0</v>
      </c>
      <c r="BP80">
        <f t="shared" si="102"/>
        <v>0</v>
      </c>
    </row>
    <row r="81" spans="14:68">
      <c r="N81" s="7">
        <v>63</v>
      </c>
      <c r="O81" s="18">
        <f t="shared" si="62"/>
        <v>42.6579518801593</v>
      </c>
      <c r="P81" s="86" t="str">
        <f t="shared" si="50"/>
        <v>96,0576923076923</v>
      </c>
      <c r="Q81" s="4" t="str">
        <f t="shared" si="51"/>
        <v>1+0,357775899962511i</v>
      </c>
      <c r="R81" s="4">
        <f t="shared" si="63"/>
        <v>1.06207513603981</v>
      </c>
      <c r="S81" s="4">
        <f t="shared" si="64"/>
        <v>0.343585259451889</v>
      </c>
      <c r="T81" s="4" t="str">
        <f t="shared" si="52"/>
        <v>1+0,00420267616252856i</v>
      </c>
      <c r="U81" s="4">
        <f t="shared" si="65"/>
        <v>1.00000883120447</v>
      </c>
      <c r="V81" s="4">
        <f t="shared" si="66"/>
        <v>0.00420265141955318</v>
      </c>
      <c r="W81" t="str">
        <f t="shared" si="53"/>
        <v>1-0,00199531818940911i</v>
      </c>
      <c r="X81" s="4">
        <f t="shared" si="67"/>
        <v>1.00000199064536</v>
      </c>
      <c r="Y81" s="4">
        <f t="shared" si="68"/>
        <v>-0.00199531554143221</v>
      </c>
      <c r="Z81" t="str">
        <f t="shared" si="54"/>
        <v>0,999999985145299+0,00342035497159793i</v>
      </c>
      <c r="AA81" s="4">
        <f t="shared" si="69"/>
        <v>1.00000583454234</v>
      </c>
      <c r="AB81" s="4">
        <f t="shared" si="70"/>
        <v>0.00342034168445099</v>
      </c>
      <c r="AC81" s="67" t="str">
        <f t="shared" si="71"/>
        <v>85,1206622427074-30,5706406303399i</v>
      </c>
      <c r="AD81" s="68">
        <f t="shared" si="72"/>
        <v>39.1275814614388</v>
      </c>
      <c r="AE81" s="31">
        <f t="shared" si="73"/>
        <v>-19.7554853827282</v>
      </c>
      <c r="AF81" s="32" t="str">
        <f t="shared" si="74"/>
        <v>236,914774604583</v>
      </c>
      <c r="AG81" s="32" t="str">
        <f t="shared" si="55"/>
        <v>1+0,0883517147804299i</v>
      </c>
      <c r="AH81" s="32">
        <f t="shared" si="75"/>
        <v>1.00389542558209</v>
      </c>
      <c r="AI81" s="32">
        <f t="shared" si="76"/>
        <v>0.0881228936254127</v>
      </c>
      <c r="AJ81" s="32" t="str">
        <f t="shared" si="56"/>
        <v>1+0,00420267616252856i</v>
      </c>
      <c r="AK81" s="32">
        <f t="shared" si="77"/>
        <v>1.00000883120447</v>
      </c>
      <c r="AL81" s="32">
        <f t="shared" si="78"/>
        <v>0.00420265141955318</v>
      </c>
      <c r="AM81" s="32" t="str">
        <f t="shared" si="57"/>
        <v>1-0,000199776139175847i</v>
      </c>
      <c r="AN81" s="32">
        <f t="shared" si="79"/>
        <v>1.00000001995525</v>
      </c>
      <c r="AO81" s="32">
        <f t="shared" si="80"/>
        <v>-0.000199776136518125</v>
      </c>
      <c r="AP81" s="30" t="str">
        <f t="shared" si="81"/>
        <v>235,163072583725-19,8287145590095i</v>
      </c>
      <c r="AQ81" s="32">
        <f t="shared" si="82"/>
        <v>47.4581502792313</v>
      </c>
      <c r="AR81" s="31">
        <f t="shared" si="83"/>
        <v>-4.81972202358131</v>
      </c>
      <c r="AS81" t="str">
        <f t="shared" si="58"/>
        <v>-0,000272527472527473</v>
      </c>
      <c r="AT81" t="str">
        <f t="shared" si="59"/>
        <v>0,0000602258503648066i</v>
      </c>
      <c r="AU81">
        <f t="shared" si="84"/>
        <v>6.02258503648066e-5</v>
      </c>
      <c r="AV81">
        <f t="shared" si="85"/>
        <v>1.5707963267949</v>
      </c>
      <c r="AW81" t="str">
        <f t="shared" si="60"/>
        <v>1+0,00308345307352443i</v>
      </c>
      <c r="AX81">
        <f t="shared" si="86"/>
        <v>1.00000475383013</v>
      </c>
      <c r="AY81">
        <f t="shared" si="87"/>
        <v>0.00308344330141553</v>
      </c>
      <c r="AZ81" t="str">
        <f t="shared" si="61"/>
        <v>1+0,147415299068285i</v>
      </c>
      <c r="BA81">
        <f t="shared" si="88"/>
        <v>1.01080723701376</v>
      </c>
      <c r="BB81">
        <f t="shared" si="89"/>
        <v>0.146361169279337</v>
      </c>
      <c r="BC81" s="30" t="str">
        <f t="shared" si="90"/>
        <v>-0,653108573486933+4,52710514635176i</v>
      </c>
      <c r="BD81" s="32">
        <f t="shared" si="91"/>
        <v>13.2058725164163</v>
      </c>
      <c r="BE81" s="31">
        <f t="shared" si="92"/>
        <v>98.2092089967668</v>
      </c>
      <c r="BF81" s="30" t="str">
        <f t="shared" si="93"/>
        <v>82,8034702332843+405,316135592494i</v>
      </c>
      <c r="BG81" s="68">
        <f t="shared" si="94"/>
        <v>52.3334539778551</v>
      </c>
      <c r="BH81" s="31">
        <f t="shared" si="95"/>
        <v>78.4537236140386</v>
      </c>
      <c r="BI81" s="30" t="str">
        <f t="shared" si="103"/>
        <v>-63,8203431463287+1077,55825960539i</v>
      </c>
      <c r="BJ81" s="68">
        <f t="shared" si="97"/>
        <v>60.6640227956476</v>
      </c>
      <c r="BK81" s="31">
        <f t="shared" si="104"/>
        <v>93.3894869731855</v>
      </c>
      <c r="BL81" s="32">
        <f t="shared" si="99"/>
        <v>52.3334539778551</v>
      </c>
      <c r="BM81" s="31">
        <f t="shared" si="100"/>
        <v>78.4537236140386</v>
      </c>
      <c r="BO81">
        <f t="shared" si="101"/>
        <v>0</v>
      </c>
      <c r="BP81">
        <f t="shared" si="102"/>
        <v>0</v>
      </c>
    </row>
    <row r="82" spans="14:68">
      <c r="N82" s="7">
        <v>64</v>
      </c>
      <c r="O82" s="18">
        <f t="shared" si="62"/>
        <v>43.6515832240166</v>
      </c>
      <c r="P82" s="86" t="str">
        <f t="shared" si="50"/>
        <v>96,0576923076923</v>
      </c>
      <c r="Q82" s="4" t="str">
        <f t="shared" si="51"/>
        <v>1+0,366109571238577i</v>
      </c>
      <c r="R82" s="4">
        <f t="shared" si="63"/>
        <v>1.06491136633642</v>
      </c>
      <c r="S82" s="4">
        <f t="shared" si="64"/>
        <v>0.350953632259311</v>
      </c>
      <c r="T82" s="4" t="str">
        <f t="shared" si="52"/>
        <v>1+0,00430056906594085i</v>
      </c>
      <c r="U82" s="4">
        <f t="shared" si="65"/>
        <v>1.00000924740439</v>
      </c>
      <c r="V82" s="4">
        <f t="shared" si="66"/>
        <v>0.0043005425533783</v>
      </c>
      <c r="W82" t="str">
        <f t="shared" si="53"/>
        <v>1-0,00204179512059267i</v>
      </c>
      <c r="X82" s="4">
        <f t="shared" si="67"/>
        <v>1.00000208446148</v>
      </c>
      <c r="Y82" s="4">
        <f t="shared" si="68"/>
        <v>-0.00204179228323462</v>
      </c>
      <c r="Z82" t="str">
        <f t="shared" si="54"/>
        <v>0,999999984445219+0,00350002527354879i</v>
      </c>
      <c r="AA82" s="4">
        <f t="shared" si="69"/>
        <v>1.00000610951501</v>
      </c>
      <c r="AB82" s="4">
        <f t="shared" si="70"/>
        <v>0.00350001103611903</v>
      </c>
      <c r="AC82" s="67" t="str">
        <f t="shared" si="71"/>
        <v>84,666138512662-31,1163169060839i</v>
      </c>
      <c r="AD82" s="68">
        <f t="shared" si="72"/>
        <v>39.10441908899</v>
      </c>
      <c r="AE82" s="31">
        <f t="shared" si="73"/>
        <v>-20.1792809364104</v>
      </c>
      <c r="AF82" s="32" t="str">
        <f t="shared" si="74"/>
        <v>236,914774604583</v>
      </c>
      <c r="AG82" s="32" t="str">
        <f t="shared" si="55"/>
        <v>1+0,0904096905908017i</v>
      </c>
      <c r="AH82" s="32">
        <f t="shared" si="75"/>
        <v>1.00407863843064</v>
      </c>
      <c r="AI82" s="32">
        <f t="shared" si="76"/>
        <v>0.0901645580645662</v>
      </c>
      <c r="AJ82" s="32" t="str">
        <f t="shared" si="56"/>
        <v>1+0,00430056906594085i</v>
      </c>
      <c r="AK82" s="32">
        <f t="shared" si="77"/>
        <v>1.00000924740439</v>
      </c>
      <c r="AL82" s="32">
        <f t="shared" si="78"/>
        <v>0.0043005425533783</v>
      </c>
      <c r="AM82" s="32" t="str">
        <f t="shared" si="57"/>
        <v>1-0,000204429523243549i</v>
      </c>
      <c r="AN82" s="32">
        <f t="shared" si="79"/>
        <v>1.00000002089571</v>
      </c>
      <c r="AO82" s="32">
        <f t="shared" si="80"/>
        <v>-0.000204429520395748</v>
      </c>
      <c r="AP82" s="30" t="str">
        <f t="shared" si="81"/>
        <v>235,081186738569-20,2831813802454i</v>
      </c>
      <c r="AQ82" s="32">
        <f t="shared" si="82"/>
        <v>47.4565688554797</v>
      </c>
      <c r="AR82" s="31">
        <f t="shared" si="83"/>
        <v>-4.93135864956345</v>
      </c>
      <c r="AS82" t="str">
        <f t="shared" si="58"/>
        <v>-0,000272527472527473</v>
      </c>
      <c r="AT82" t="str">
        <f t="shared" si="59"/>
        <v>0,0000616286906324558i</v>
      </c>
      <c r="AU82">
        <f t="shared" si="84"/>
        <v>6.16286906324558e-5</v>
      </c>
      <c r="AV82">
        <f t="shared" si="85"/>
        <v>1.5707963267949</v>
      </c>
      <c r="AW82" t="str">
        <f t="shared" si="60"/>
        <v>1+0,0031552759221641i</v>
      </c>
      <c r="AX82">
        <f t="shared" si="86"/>
        <v>1.00000497787068</v>
      </c>
      <c r="AY82">
        <f t="shared" si="87"/>
        <v>0.00315526545116358</v>
      </c>
      <c r="AZ82" t="str">
        <f t="shared" si="61"/>
        <v>1+0,150849042491547i</v>
      </c>
      <c r="BA82">
        <f t="shared" si="88"/>
        <v>1.01131371671733</v>
      </c>
      <c r="BB82">
        <f t="shared" si="89"/>
        <v>0.14972020341203</v>
      </c>
      <c r="BC82" s="30" t="str">
        <f t="shared" si="90"/>
        <v>-0,653108280842807+4,42414839974948i</v>
      </c>
      <c r="BD82" s="32">
        <f t="shared" si="91"/>
        <v>13.0102216720763</v>
      </c>
      <c r="BE82" s="31">
        <f t="shared" si="92"/>
        <v>98.3975523697544</v>
      </c>
      <c r="BF82" s="30" t="str">
        <f t="shared" si="93"/>
        <v>82,3670474765451+394,897885454454i</v>
      </c>
      <c r="BG82" s="68">
        <f t="shared" si="94"/>
        <v>52.1146407610663</v>
      </c>
      <c r="BH82" s="31">
        <f t="shared" si="95"/>
        <v>78.218271433344</v>
      </c>
      <c r="BI82" s="30" t="str">
        <f t="shared" si="103"/>
        <v>-63,7976652840725+1053,28116984192i</v>
      </c>
      <c r="BJ82" s="68">
        <f t="shared" si="97"/>
        <v>60.4667905275559</v>
      </c>
      <c r="BK82" s="31">
        <f t="shared" si="104"/>
        <v>93.466193720191</v>
      </c>
      <c r="BL82" s="32">
        <f t="shared" si="99"/>
        <v>52.1146407610663</v>
      </c>
      <c r="BM82" s="31">
        <f t="shared" si="100"/>
        <v>78.218271433344</v>
      </c>
      <c r="BO82">
        <f t="shared" si="101"/>
        <v>0</v>
      </c>
      <c r="BP82">
        <f t="shared" si="102"/>
        <v>0</v>
      </c>
    </row>
    <row r="83" spans="14:68">
      <c r="N83" s="7">
        <v>65</v>
      </c>
      <c r="O83" s="18">
        <f t="shared" si="62"/>
        <v>44.6683592150963</v>
      </c>
      <c r="P83" s="86" t="str">
        <f t="shared" ref="P83:P146" si="105">COMPLEX(Adc,0)</f>
        <v>96,0576923076923</v>
      </c>
      <c r="Q83" s="4" t="str">
        <f t="shared" ref="Q83:Q146" si="106">IMSUM(COMPLEX(1,0),IMDIV(COMPLEX(0,2*PI()*O83),COMPLEX(wp_lf,0)))</f>
        <v>1+0,374637358655347i</v>
      </c>
      <c r="R83" s="4">
        <f t="shared" si="63"/>
        <v>1.06787319027132</v>
      </c>
      <c r="S83" s="4">
        <f t="shared" si="64"/>
        <v>0.358452700233674</v>
      </c>
      <c r="T83" s="4" t="str">
        <f t="shared" ref="T83:T146" si="107">IMSUM(COMPLEX(1,0),IMDIV(COMPLEX(0,2*PI()*O83),COMPLEX(wz_esr,0)))</f>
        <v>1+0,00440074218799665i</v>
      </c>
      <c r="U83" s="4">
        <f t="shared" si="65"/>
        <v>1.00000968321902</v>
      </c>
      <c r="V83" s="4">
        <f t="shared" si="66"/>
        <v>0.00440071377928891</v>
      </c>
      <c r="W83" t="str">
        <f t="shared" ref="W83:W146" si="108">IMSUB(COMPLEX(1,0),IMDIV(COMPLEX(0,2*PI()*O83),COMPLEX(wz_rhp,0)))</f>
        <v>1-0,00208935463857551i</v>
      </c>
      <c r="X83" s="4">
        <f t="shared" si="67"/>
        <v>1.00000218269902</v>
      </c>
      <c r="Y83" s="4">
        <f t="shared" si="68"/>
        <v>-0.00208935159829194</v>
      </c>
      <c r="Z83" t="str">
        <f t="shared" ref="Z83:Z146" si="109">IMSUM(COMPLEX(1,0),IMDIV(COMPLEX(0,2*PI()*O83),COMPLEX(Q*(wsl/2),0)),IMDIV(IMPOWER(COMPLEX(0,2*PI()*O83),2),IMPOWER(COMPLEX(wsl/2,0),2)))</f>
        <v>0,999999983712144+0,00358155133522801i</v>
      </c>
      <c r="AA83" s="4">
        <f t="shared" si="69"/>
        <v>1.00000639744666</v>
      </c>
      <c r="AB83" s="4">
        <f t="shared" si="70"/>
        <v>0.00358153607955244</v>
      </c>
      <c r="AC83" s="67" t="str">
        <f t="shared" si="71"/>
        <v>84,1953480233279-31,6647334024508i</v>
      </c>
      <c r="AD83" s="68">
        <f t="shared" si="72"/>
        <v>39.0802968094095</v>
      </c>
      <c r="AE83" s="31">
        <f t="shared" si="73"/>
        <v>-20.6106024820925</v>
      </c>
      <c r="AF83" s="32" t="str">
        <f t="shared" si="74"/>
        <v>236,914774604583</v>
      </c>
      <c r="AG83" s="32" t="str">
        <f t="shared" ref="AG83:AG146" si="110">IMSUM(COMPLEX(1,0),IMDIV(COMPLEX(0,2*PI()*O83),COMPLEX(wp_lf_DCM,0)))</f>
        <v>1+0,0925156028158386i</v>
      </c>
      <c r="AH83" s="32">
        <f t="shared" si="75"/>
        <v>1.00427045001054</v>
      </c>
      <c r="AI83" s="32">
        <f t="shared" si="76"/>
        <v>0.0922529988678144</v>
      </c>
      <c r="AJ83" s="32" t="str">
        <f t="shared" ref="AJ83:AJ146" si="111">IMSUM(COMPLEX(1,0),IMDIV(COMPLEX(0,2*PI()*O83),COMPLEX(wz1_dcm,0)))</f>
        <v>1+0,00440074218799665i</v>
      </c>
      <c r="AK83" s="32">
        <f t="shared" si="77"/>
        <v>1.00000968321902</v>
      </c>
      <c r="AL83" s="32">
        <f t="shared" si="78"/>
        <v>0.00440071377928891</v>
      </c>
      <c r="AM83" s="32" t="str">
        <f t="shared" ref="AM83:AM146" si="112">IMSUB(COMPLEX(1,0),IMDIV(COMPLEX(0,2*PI()*O83),COMPLEX(wz2_dcm,0)))</f>
        <v>1-0,000209191298550419i</v>
      </c>
      <c r="AN83" s="32">
        <f t="shared" si="79"/>
        <v>1.0000000218805</v>
      </c>
      <c r="AO83" s="32">
        <f t="shared" si="80"/>
        <v>-0.000209191295498946</v>
      </c>
      <c r="AP83" s="30" t="str">
        <f t="shared" si="81"/>
        <v>234,995505759934-20,7477105401764i</v>
      </c>
      <c r="AQ83" s="32">
        <f t="shared" si="82"/>
        <v>47.4549135213196</v>
      </c>
      <c r="AR83" s="31">
        <f t="shared" si="83"/>
        <v>-5.04555093449558</v>
      </c>
      <c r="AS83" t="str">
        <f t="shared" ref="AS83:AS146" si="113">COMPLEX(Adc_ea,0)</f>
        <v>-0,000272527472527473</v>
      </c>
      <c r="AT83" t="str">
        <f t="shared" ref="AT83:AT146" si="114">COMPLEX(0,2*PI()*O83*wp0_ea)</f>
        <v>0,0000630642072476306i</v>
      </c>
      <c r="AU83">
        <f t="shared" si="84"/>
        <v>6.30642072476306e-5</v>
      </c>
      <c r="AV83">
        <f t="shared" si="85"/>
        <v>1.5707963267949</v>
      </c>
      <c r="AW83" t="str">
        <f t="shared" ref="AW83:AW146" si="115">IMSUM(COMPLEX(1,0),IMDIV(COMPLEX(0,2*PI()*O83),COMPLEX(wp1_ea,0)))</f>
        <v>1+0,00322877173986272i</v>
      </c>
      <c r="AX83">
        <f t="shared" si="86"/>
        <v>1.00000521246989</v>
      </c>
      <c r="AY83">
        <f t="shared" si="87"/>
        <v>0.00322876051998668</v>
      </c>
      <c r="AZ83" t="str">
        <f t="shared" ref="AZ83:AZ146" si="116">IMSUM(COMPLEX(1,0),IMDIV(COMPLEX(0,2*PI()*O83),COMPLEX(wz_ea,0)))</f>
        <v>1+0,154362768073862i</v>
      </c>
      <c r="BA83">
        <f t="shared" si="88"/>
        <v>1.01184379435139</v>
      </c>
      <c r="BB83">
        <f t="shared" si="89"/>
        <v>0.153153958562285</v>
      </c>
      <c r="BC83" s="30" t="str">
        <f t="shared" si="90"/>
        <v>-0,653107974407074+4,32353739510221i</v>
      </c>
      <c r="BD83" s="32">
        <f t="shared" si="91"/>
        <v>12.8147711296671</v>
      </c>
      <c r="BE83" s="31">
        <f t="shared" si="92"/>
        <v>98.5900810904868</v>
      </c>
      <c r="BF83" s="30" t="str">
        <f t="shared" si="93"/>
        <v>81,9150057694237+384,702225565118i</v>
      </c>
      <c r="BG83" s="68">
        <f t="shared" si="94"/>
        <v>51.8950679390766</v>
      </c>
      <c r="BH83" s="31">
        <f t="shared" si="95"/>
        <v>77.9794786083943</v>
      </c>
      <c r="BI83" s="30" t="str">
        <f t="shared" si="103"/>
        <v>-63,7739363784275+1029,56235203851i</v>
      </c>
      <c r="BJ83" s="68">
        <f t="shared" si="97"/>
        <v>60.2696846509867</v>
      </c>
      <c r="BK83" s="31">
        <f t="shared" si="104"/>
        <v>93.5445301559912</v>
      </c>
      <c r="BL83" s="32">
        <f t="shared" si="99"/>
        <v>51.8950679390766</v>
      </c>
      <c r="BM83" s="31">
        <f t="shared" si="100"/>
        <v>77.9794786083943</v>
      </c>
      <c r="BO83">
        <f t="shared" si="101"/>
        <v>0</v>
      </c>
      <c r="BP83">
        <f t="shared" si="102"/>
        <v>0</v>
      </c>
    </row>
    <row r="84" spans="14:68">
      <c r="N84" s="7">
        <v>66</v>
      </c>
      <c r="O84" s="18">
        <f t="shared" ref="O84:O118" si="117">10^(1+(N84/100))</f>
        <v>45.7088189614875</v>
      </c>
      <c r="P84" s="86" t="str">
        <f t="shared" si="105"/>
        <v>96,0576923076923</v>
      </c>
      <c r="Q84" s="4" t="str">
        <f t="shared" si="106"/>
        <v>1+0,383363783758588i</v>
      </c>
      <c r="R84" s="4">
        <f t="shared" ref="R84:R147" si="118">IMABS(Q84)</f>
        <v>1.07096582144236</v>
      </c>
      <c r="S84" s="4">
        <f t="shared" ref="S84:S147" si="119">IMARGUMENT(Q84)</f>
        <v>0.366083064749153</v>
      </c>
      <c r="T84" s="4" t="str">
        <f t="shared" si="107"/>
        <v>1+0,00450324864181125i</v>
      </c>
      <c r="U84" s="4">
        <f t="shared" ref="U84:U147" si="120">IMABS(T84)</f>
        <v>1.00001013957276</v>
      </c>
      <c r="V84" s="4">
        <f t="shared" ref="V84:V147" si="121">IMARGUMENT(T84)</f>
        <v>0.00450321820134914</v>
      </c>
      <c r="W84" t="str">
        <f t="shared" si="108"/>
        <v>1-0,00213802196004361i</v>
      </c>
      <c r="X84" s="4">
        <f t="shared" ref="X84:X147" si="122">IMABS(W84)</f>
        <v>1.00000228556634</v>
      </c>
      <c r="Y84" s="4">
        <f t="shared" ref="Y84:Y147" si="123">IMARGUMENT(W84)</f>
        <v>-0.00213801870232147</v>
      </c>
      <c r="Z84" t="str">
        <f t="shared" si="109"/>
        <v>0,999999982944521+0,0036649763828326i</v>
      </c>
      <c r="AA84" s="4">
        <f t="shared" ref="AA84:AA147" si="124">IMABS(Z84)</f>
        <v>1.00000669894803</v>
      </c>
      <c r="AB84" s="4">
        <f t="shared" ref="AB84:AB147" si="125">IMARGUMENT(Z84)</f>
        <v>0.00366496003608762</v>
      </c>
      <c r="AC84" s="67" t="str">
        <f t="shared" ref="AC84:AC147" si="126">(IMDIV(IMPRODUCT(P84,T84,W84),IMPRODUCT(Q84,Z84)))</f>
        <v>83,7079279779633-32,2154406777366i</v>
      </c>
      <c r="AD84" s="68">
        <f t="shared" ref="AD84:AD147" si="127">20*LOG(IMABS(AC84))</f>
        <v>39.0551804937633</v>
      </c>
      <c r="AE84" s="31">
        <f t="shared" ref="AE84:AE147" si="128">(180/PI())*IMARGUMENT(AC84)</f>
        <v>-21.0494853544921</v>
      </c>
      <c r="AF84" s="32" t="str">
        <f t="shared" ref="AF84:AF147" si="129">COMPLEX($B$68,0)</f>
        <v>236,914774604583</v>
      </c>
      <c r="AG84" s="32" t="str">
        <f t="shared" si="110"/>
        <v>1+0,0946705680380773i</v>
      </c>
      <c r="AH84" s="32">
        <f t="shared" ref="AH84:AH147" si="130">IMABS(AG84)</f>
        <v>1.00447126213379</v>
      </c>
      <c r="AI84" s="32">
        <f t="shared" ref="AI84:AI147" si="131">IMARGUMENT(AG84)</f>
        <v>0.0943892504425444</v>
      </c>
      <c r="AJ84" s="32" t="str">
        <f t="shared" si="111"/>
        <v>1+0,00450324864181125i</v>
      </c>
      <c r="AK84" s="32">
        <f t="shared" ref="AK84:AK147" si="132">IMABS(AJ84)</f>
        <v>1.00001013957276</v>
      </c>
      <c r="AL84" s="32">
        <f t="shared" ref="AL84:AL147" si="133">IMARGUMENT(AJ84)</f>
        <v>0.00450321820134914</v>
      </c>
      <c r="AM84" s="32" t="str">
        <f t="shared" si="112"/>
        <v>1-0,000214063989852755i</v>
      </c>
      <c r="AN84" s="32">
        <f t="shared" ref="AN84:AN147" si="134">IMABS(AM84)</f>
        <v>1.0000000229117</v>
      </c>
      <c r="AO84" s="32">
        <f t="shared" ref="AO84:AO147" si="135">IMARGUMENT(AM84)</f>
        <v>-0.000214063986583042</v>
      </c>
      <c r="AP84" s="30" t="str">
        <f t="shared" ref="AP84:AP147" si="136">(IMDIV(IMPRODUCT(AF84,AJ84,AM84),IMPRODUCT(AG84)))</f>
        <v>234,905856885479-21,2224996917634i</v>
      </c>
      <c r="AQ84" s="32">
        <f t="shared" ref="AQ84:AQ147" si="137">20*LOG(IMABS(AP84))</f>
        <v>47.4531808527384</v>
      </c>
      <c r="AR84" s="31">
        <f t="shared" ref="AR84:AR147" si="138">(180/PI())*IMARGUMENT(AP84)</f>
        <v>-5.16235524757428</v>
      </c>
      <c r="AS84" t="str">
        <f t="shared" si="113"/>
        <v>-0,000272527472527473</v>
      </c>
      <c r="AT84" t="str">
        <f t="shared" si="114"/>
        <v>0,0000645331613402415i</v>
      </c>
      <c r="AU84">
        <f t="shared" ref="AU84:AU147" si="139">IMABS(AT84)</f>
        <v>6.45331613402415e-5</v>
      </c>
      <c r="AV84">
        <f t="shared" ref="AV84:AV147" si="140">IMARGUMENT(AT84)</f>
        <v>1.5707963267949</v>
      </c>
      <c r="AW84" t="str">
        <f t="shared" si="115"/>
        <v>1+0,00330397949507566i</v>
      </c>
      <c r="AX84">
        <f t="shared" ref="AX84:AX147" si="141">IMABS(AW84)</f>
        <v>1.00000545812536</v>
      </c>
      <c r="AY84">
        <f t="shared" ref="AY84:AY147" si="142">IMARGUMENT(AW84)</f>
        <v>0.00330396747276542</v>
      </c>
      <c r="AZ84" t="str">
        <f t="shared" si="116"/>
        <v>1+0,157958338839042i</v>
      </c>
      <c r="BA84">
        <f t="shared" ref="BA84:BA147" si="143">IMABS(AZ84)</f>
        <v>1.01239855630517</v>
      </c>
      <c r="BB84">
        <f t="shared" ref="BB84:BB147" si="144">IMARGUMENT(AZ84)</f>
        <v>0.156663931295254</v>
      </c>
      <c r="BC84" s="30" t="str">
        <f t="shared" ref="BC84:BC147" si="145">IMPRODUCT(AS84,IMDIV(AZ84,IMPRODUCT(AT84,AW84)))</f>
        <v>-0,653107653529775+4,22521878711733i</v>
      </c>
      <c r="BD84" s="32">
        <f t="shared" ref="BD84:BD147" si="146">20*LOG(IMABS(BC84))</f>
        <v>12.6195298895427</v>
      </c>
      <c r="BE84" s="31">
        <f t="shared" ref="BE84:BE147" si="147">(180/PI())*IMARGUMENT(BC84)</f>
        <v>98.7868786733076</v>
      </c>
      <c r="BF84" s="30" t="str">
        <f t="shared" ref="BF84:BF147" si="148">IMPRODUCT(AC84,BC84)</f>
        <v>81,4469967633095+374,724460791619i</v>
      </c>
      <c r="BG84" s="68">
        <f t="shared" ref="BG84:BG147" si="149">20*LOG(IMABS(BF84))</f>
        <v>51.674710383306</v>
      </c>
      <c r="BH84" s="31">
        <f t="shared" ref="BH84:BH147" si="150">(180/PI())*IMARGUMENT(BF84)</f>
        <v>77.7373933188155</v>
      </c>
      <c r="BI84" s="30" t="str">
        <f t="shared" si="103"/>
        <v>-63,7491085836458+1006,38921669214i</v>
      </c>
      <c r="BJ84" s="68">
        <f t="shared" ref="BJ84:BJ147" si="151">20*LOG(IMABS(BI84))</f>
        <v>60.0727107422811</v>
      </c>
      <c r="BK84" s="31">
        <f t="shared" si="104"/>
        <v>93.6245234257333</v>
      </c>
      <c r="BL84" s="32">
        <f t="shared" ref="BL84:BL147" si="152">IF($B$31=0,BJ84,BG84)</f>
        <v>51.674710383306</v>
      </c>
      <c r="BM84" s="31">
        <f t="shared" ref="BM84:BM147" si="153">IF($B$31=0,BK84,BH84)</f>
        <v>77.7373933188155</v>
      </c>
      <c r="BO84">
        <f t="shared" ref="BO84:BO147" si="154">SUM((BL85&lt;0)*(BL84&gt;0))*O84</f>
        <v>0</v>
      </c>
      <c r="BP84">
        <f t="shared" ref="BP84:BP147" si="155">IF(BO84&gt;0,BM84,0)</f>
        <v>0</v>
      </c>
    </row>
    <row r="85" spans="14:68">
      <c r="N85" s="7">
        <v>67</v>
      </c>
      <c r="O85" s="18">
        <f t="shared" si="117"/>
        <v>46.7735141287198</v>
      </c>
      <c r="P85" s="86" t="str">
        <f t="shared" si="105"/>
        <v>96,0576923076923</v>
      </c>
      <c r="Q85" s="4" t="str">
        <f t="shared" si="106"/>
        <v>1+0,392293473414397i</v>
      </c>
      <c r="R85" s="4">
        <f t="shared" si="118"/>
        <v>1.07419466079642</v>
      </c>
      <c r="S85" s="4">
        <f t="shared" si="119"/>
        <v>0.373845216450551</v>
      </c>
      <c r="T85" s="4" t="str">
        <f t="shared" si="107"/>
        <v>1+0,00460814277766327i</v>
      </c>
      <c r="U85" s="4">
        <f t="shared" si="120"/>
        <v>1.00001061743356</v>
      </c>
      <c r="V85" s="4">
        <f t="shared" si="121"/>
        <v>0.00460811016013916</v>
      </c>
      <c r="W85" t="str">
        <f t="shared" si="108"/>
        <v>1-0,00218782288905499i</v>
      </c>
      <c r="X85" s="4">
        <f t="shared" si="122"/>
        <v>1.00000239328163</v>
      </c>
      <c r="Y85" s="4">
        <f t="shared" si="123"/>
        <v>-0.00218781939834328</v>
      </c>
      <c r="Z85" t="str">
        <f t="shared" si="109"/>
        <v>0,999999982140721+0,00375034464942706i</v>
      </c>
      <c r="AA85" s="4">
        <f t="shared" si="124"/>
        <v>1.00000701465861</v>
      </c>
      <c r="AB85" s="4">
        <f t="shared" si="125"/>
        <v>0.00375032713358087</v>
      </c>
      <c r="AC85" s="67" t="str">
        <f t="shared" si="126"/>
        <v>83,203526005939-32,7679611701412i</v>
      </c>
      <c r="AD85" s="68">
        <f t="shared" si="127"/>
        <v>39.0290352709918</v>
      </c>
      <c r="AE85" s="31">
        <f t="shared" si="128"/>
        <v>-21.4959585644735</v>
      </c>
      <c r="AF85" s="32" t="str">
        <f t="shared" si="129"/>
        <v>236,914774604583</v>
      </c>
      <c r="AG85" s="32" t="str">
        <f t="shared" si="110"/>
        <v>1+0,0968757288486028i</v>
      </c>
      <c r="AH85" s="32">
        <f t="shared" si="130"/>
        <v>1.00468149522122</v>
      </c>
      <c r="AI85" s="32">
        <f t="shared" si="131"/>
        <v>0.0965743674231101</v>
      </c>
      <c r="AJ85" s="32" t="str">
        <f t="shared" si="111"/>
        <v>1+0,00460814277766327i</v>
      </c>
      <c r="AK85" s="32">
        <f t="shared" si="132"/>
        <v>1.00001061743356</v>
      </c>
      <c r="AL85" s="32">
        <f t="shared" si="133"/>
        <v>0.00460811016013916</v>
      </c>
      <c r="AM85" s="32" t="str">
        <f t="shared" si="112"/>
        <v>1-0,000219050180715982i</v>
      </c>
      <c r="AN85" s="32">
        <f t="shared" si="134"/>
        <v>1.00000002399149</v>
      </c>
      <c r="AO85" s="32">
        <f t="shared" si="135"/>
        <v>-0.000219050177212422</v>
      </c>
      <c r="AP85" s="30" t="str">
        <f t="shared" si="136"/>
        <v>234,812059787253-21,7077485510074i</v>
      </c>
      <c r="AQ85" s="32">
        <f t="shared" si="137"/>
        <v>47.4513672699972</v>
      </c>
      <c r="AR85" s="31">
        <f t="shared" si="138"/>
        <v>-5.28182904943845</v>
      </c>
      <c r="AS85" t="str">
        <f t="shared" si="113"/>
        <v>-0,000272527472527473</v>
      </c>
      <c r="AT85" t="str">
        <f t="shared" si="114"/>
        <v>0,0000660363317691924i</v>
      </c>
      <c r="AU85">
        <f t="shared" si="139"/>
        <v>6.60363317691924e-5</v>
      </c>
      <c r="AV85">
        <f t="shared" si="140"/>
        <v>1.5707963267949</v>
      </c>
      <c r="AW85" t="str">
        <f t="shared" si="115"/>
        <v>1+0,00338093906395022i</v>
      </c>
      <c r="AX85">
        <f t="shared" si="141"/>
        <v>1.00000571535814</v>
      </c>
      <c r="AY85">
        <f t="shared" si="142"/>
        <v>0.00338092618181668</v>
      </c>
      <c r="AZ85" t="str">
        <f t="shared" si="116"/>
        <v>1+0,161637661206301i</v>
      </c>
      <c r="BA85">
        <f t="shared" si="143"/>
        <v>1.01297913775173</v>
      </c>
      <c r="BB85">
        <f t="shared" si="144"/>
        <v>0.160251636527181</v>
      </c>
      <c r="BC85" s="30" t="str">
        <f t="shared" si="145"/>
        <v>-0,653107317530335+4,12914044596081i</v>
      </c>
      <c r="BD85" s="32">
        <f t="shared" si="146"/>
        <v>12.4245073353693</v>
      </c>
      <c r="BE85" s="31">
        <f t="shared" si="147"/>
        <v>98.9880296320086</v>
      </c>
      <c r="BF85" s="30" t="str">
        <f t="shared" si="148"/>
        <v>80,9626821204991+364,960039698444i</v>
      </c>
      <c r="BG85" s="68">
        <f t="shared" si="149"/>
        <v>51.4535426063611</v>
      </c>
      <c r="BH85" s="31">
        <f t="shared" si="150"/>
        <v>77.4920710675351</v>
      </c>
      <c r="BI85" s="30" t="str">
        <f t="shared" si="103"/>
        <v>-63,7231319587136+983,749462692686i</v>
      </c>
      <c r="BJ85" s="68">
        <f t="shared" si="151"/>
        <v>59.8758746053666</v>
      </c>
      <c r="BK85" s="31">
        <f t="shared" si="104"/>
        <v>93.7062005825702</v>
      </c>
      <c r="BL85" s="32">
        <f t="shared" si="152"/>
        <v>51.4535426063611</v>
      </c>
      <c r="BM85" s="31">
        <f t="shared" si="153"/>
        <v>77.4920710675351</v>
      </c>
      <c r="BO85">
        <f t="shared" si="154"/>
        <v>0</v>
      </c>
      <c r="BP85">
        <f t="shared" si="155"/>
        <v>0</v>
      </c>
    </row>
    <row r="86" spans="14:68">
      <c r="N86" s="7">
        <v>68</v>
      </c>
      <c r="O86" s="18">
        <f t="shared" si="117"/>
        <v>47.8630092322639</v>
      </c>
      <c r="P86" s="86" t="str">
        <f t="shared" si="105"/>
        <v>96,0576923076923</v>
      </c>
      <c r="Q86" s="4" t="str">
        <f t="shared" si="106"/>
        <v>1+0,401431162262429i</v>
      </c>
      <c r="R86" s="4">
        <f t="shared" si="118"/>
        <v>1.07756530105389</v>
      </c>
      <c r="S86" s="4">
        <f t="shared" si="119"/>
        <v>0.381739528492626</v>
      </c>
      <c r="T86" s="4" t="str">
        <f t="shared" si="107"/>
        <v>1+0,004715480211812i</v>
      </c>
      <c r="U86" s="4">
        <f t="shared" si="120"/>
        <v>1.00001111781501</v>
      </c>
      <c r="V86" s="4">
        <f t="shared" si="121"/>
        <v>0.00471544526152621</v>
      </c>
      <c r="W86" t="str">
        <f t="shared" si="108"/>
        <v>1-0,0022387838307214i</v>
      </c>
      <c r="X86" s="4">
        <f t="shared" si="122"/>
        <v>1.00000250607338</v>
      </c>
      <c r="Y86" s="4">
        <f t="shared" si="123"/>
        <v>-0.00223878009035692</v>
      </c>
      <c r="Z86" t="str">
        <f t="shared" si="109"/>
        <v>0,99999998129904+0,00383770139839634i</v>
      </c>
      <c r="AA86" s="4">
        <f t="shared" si="124"/>
        <v>1.00000734524808</v>
      </c>
      <c r="AB86" s="4">
        <f t="shared" si="125"/>
        <v>0.00383768262983645</v>
      </c>
      <c r="AC86" s="67" t="str">
        <f t="shared" si="126"/>
        <v>82,6818020194845-33,3217888593847i</v>
      </c>
      <c r="AD86" s="68">
        <f t="shared" si="127"/>
        <v>39.0018255514645</v>
      </c>
      <c r="AE86" s="31">
        <f t="shared" si="128"/>
        <v>-21.9500444121667</v>
      </c>
      <c r="AF86" s="32" t="str">
        <f t="shared" si="129"/>
        <v>236,914774604583</v>
      </c>
      <c r="AG86" s="32" t="str">
        <f t="shared" si="110"/>
        <v>1+0,0991322544528658i</v>
      </c>
      <c r="AH86" s="32">
        <f t="shared" si="130"/>
        <v>1.00490158914836</v>
      </c>
      <c r="AI86" s="32">
        <f t="shared" si="131"/>
        <v>0.0988094248746433</v>
      </c>
      <c r="AJ86" s="32" t="str">
        <f t="shared" si="111"/>
        <v>1+0,004715480211812i</v>
      </c>
      <c r="AK86" s="32">
        <f t="shared" si="132"/>
        <v>1.00001111781501</v>
      </c>
      <c r="AL86" s="32">
        <f t="shared" si="133"/>
        <v>0.00471544526152621</v>
      </c>
      <c r="AM86" s="32" t="str">
        <f t="shared" si="112"/>
        <v>1-0,000224152514884497i</v>
      </c>
      <c r="AN86" s="32">
        <f t="shared" si="134"/>
        <v>1.00000002512217</v>
      </c>
      <c r="AO86" s="32">
        <f t="shared" si="135"/>
        <v>-0.000224152511130365</v>
      </c>
      <c r="AP86" s="30" t="str">
        <f t="shared" si="136"/>
        <v>234,713926269037-22,2036587735404i</v>
      </c>
      <c r="AQ86" s="32">
        <f t="shared" si="137"/>
        <v>47.4494690308254</v>
      </c>
      <c r="AR86" s="31">
        <f t="shared" si="138"/>
        <v>-5.40403090227664</v>
      </c>
      <c r="AS86" t="str">
        <f t="shared" si="113"/>
        <v>-0,000272527472527473</v>
      </c>
      <c r="AT86" t="str">
        <f t="shared" si="114"/>
        <v>0,0000675745155353417i</v>
      </c>
      <c r="AU86">
        <f t="shared" si="139"/>
        <v>6.75745155353417e-5</v>
      </c>
      <c r="AV86">
        <f t="shared" si="140"/>
        <v>1.5707963267949</v>
      </c>
      <c r="AW86" t="str">
        <f t="shared" si="115"/>
        <v>1+0,00345969125146852i</v>
      </c>
      <c r="AX86">
        <f t="shared" si="141"/>
        <v>1.00000598471387</v>
      </c>
      <c r="AY86">
        <f t="shared" si="142"/>
        <v>0.0034596774480182</v>
      </c>
      <c r="AZ86" t="str">
        <f t="shared" si="116"/>
        <v>1+0,165402686001058i</v>
      </c>
      <c r="BA86">
        <f t="shared" si="143"/>
        <v>1.01358672472382</v>
      </c>
      <c r="BB86">
        <f t="shared" si="144"/>
        <v>0.163918606881541</v>
      </c>
      <c r="BC86" s="30" t="str">
        <f t="shared" si="145"/>
        <v>-0,653106965696093+4,03525142961726i</v>
      </c>
      <c r="BD86" s="32">
        <f t="shared" si="146"/>
        <v>12.2297132484699</v>
      </c>
      <c r="BE86" s="31">
        <f t="shared" si="147"/>
        <v>99.1936194417283</v>
      </c>
      <c r="BF86" s="30" t="str">
        <f t="shared" si="148"/>
        <v>80,461735297006+355,404552215975i</v>
      </c>
      <c r="BG86" s="68">
        <f t="shared" si="149"/>
        <v>51.2315387999344</v>
      </c>
      <c r="BH86" s="31">
        <f t="shared" si="150"/>
        <v>77.2435750295616</v>
      </c>
      <c r="BI86" s="30" t="str">
        <f t="shared" si="103"/>
        <v>-63,6959543835245+961,63107073715i</v>
      </c>
      <c r="BJ86" s="68">
        <f t="shared" si="151"/>
        <v>59.6791822792952</v>
      </c>
      <c r="BK86" s="31">
        <f t="shared" si="104"/>
        <v>93.7895885394517</v>
      </c>
      <c r="BL86" s="32">
        <f t="shared" si="152"/>
        <v>51.2315387999344</v>
      </c>
      <c r="BM86" s="31">
        <f t="shared" si="153"/>
        <v>77.2435750295616</v>
      </c>
      <c r="BO86">
        <f t="shared" si="154"/>
        <v>0</v>
      </c>
      <c r="BP86">
        <f t="shared" si="155"/>
        <v>0</v>
      </c>
    </row>
    <row r="87" spans="14:68">
      <c r="N87" s="7">
        <v>69</v>
      </c>
      <c r="O87" s="18">
        <f t="shared" si="117"/>
        <v>48.9778819368446</v>
      </c>
      <c r="P87" s="86" t="str">
        <f t="shared" si="105"/>
        <v>96,0576923076923</v>
      </c>
      <c r="Q87" s="4" t="str">
        <f t="shared" si="106"/>
        <v>1+0,410781695226262i</v>
      </c>
      <c r="R87" s="4">
        <f t="shared" si="118"/>
        <v>1.08108353106176</v>
      </c>
      <c r="S87" s="4">
        <f t="shared" si="119"/>
        <v>0.389766249711621</v>
      </c>
      <c r="T87" s="4" t="str">
        <f t="shared" si="107"/>
        <v>1+0,00482531785598578i</v>
      </c>
      <c r="U87" s="4">
        <f t="shared" si="120"/>
        <v>1.00001164177844</v>
      </c>
      <c r="V87" s="4">
        <f t="shared" si="121"/>
        <v>0.00482528040610338</v>
      </c>
      <c r="W87" t="str">
        <f t="shared" si="108"/>
        <v>1-0,00229093180520867i</v>
      </c>
      <c r="X87" s="4">
        <f t="shared" si="122"/>
        <v>1.00000262418082</v>
      </c>
      <c r="Y87" s="4">
        <f t="shared" si="123"/>
        <v>-0.00229092779733649</v>
      </c>
      <c r="Z87" t="str">
        <f t="shared" si="109"/>
        <v>0,99999998041769+0,00392709294744502i</v>
      </c>
      <c r="AA87" s="4">
        <f t="shared" si="124"/>
        <v>1.00000769141762</v>
      </c>
      <c r="AB87" s="4">
        <f t="shared" si="125"/>
        <v>0.00392707283657912</v>
      </c>
      <c r="AC87" s="67" t="str">
        <f t="shared" si="126"/>
        <v>82,1424301625486-33,8763890395909i</v>
      </c>
      <c r="AD87" s="68">
        <f t="shared" si="127"/>
        <v>38.9735150544864</v>
      </c>
      <c r="AE87" s="31">
        <f t="shared" si="128"/>
        <v>-22.4117580962142</v>
      </c>
      <c r="AF87" s="32" t="str">
        <f t="shared" si="129"/>
        <v>236,914774604583</v>
      </c>
      <c r="AG87" s="32" t="str">
        <f t="shared" si="110"/>
        <v>1+0,10144134129061i</v>
      </c>
      <c r="AH87" s="32">
        <f t="shared" si="130"/>
        <v>1.00513200412823</v>
      </c>
      <c r="AI87" s="32">
        <f t="shared" si="131"/>
        <v>0.101095518483596</v>
      </c>
      <c r="AJ87" s="32" t="str">
        <f t="shared" si="111"/>
        <v>1+0,00482531785598578i</v>
      </c>
      <c r="AK87" s="32">
        <f t="shared" si="132"/>
        <v>1.00001164177844</v>
      </c>
      <c r="AL87" s="32">
        <f t="shared" si="133"/>
        <v>0.00482528040610338</v>
      </c>
      <c r="AM87" s="32" t="str">
        <f t="shared" si="112"/>
        <v>1-0,000229373697683413i</v>
      </c>
      <c r="AN87" s="32">
        <f t="shared" si="134"/>
        <v>1.00000002630615</v>
      </c>
      <c r="AO87" s="32">
        <f t="shared" si="135"/>
        <v>-0.000229373693660788</v>
      </c>
      <c r="AP87" s="30" t="str">
        <f t="shared" si="136"/>
        <v>234,611259954374-22,7104338172923i</v>
      </c>
      <c r="AQ87" s="32">
        <f t="shared" si="137"/>
        <v>47.4474822233434</v>
      </c>
      <c r="AR87" s="31">
        <f t="shared" si="138"/>
        <v>-5.52902047913806</v>
      </c>
      <c r="AS87" t="str">
        <f t="shared" si="113"/>
        <v>-0,000272527472527473</v>
      </c>
      <c r="AT87" t="str">
        <f t="shared" si="114"/>
        <v>0,000069148528204082i</v>
      </c>
      <c r="AU87">
        <f t="shared" si="139"/>
        <v>6.9148528204082e-5</v>
      </c>
      <c r="AV87">
        <f t="shared" si="140"/>
        <v>1.5707963267949</v>
      </c>
      <c r="AW87" t="str">
        <f t="shared" si="115"/>
        <v>1+0,00354027781308276i</v>
      </c>
      <c r="AX87">
        <f t="shared" si="141"/>
        <v>1.00000626676386</v>
      </c>
      <c r="AY87">
        <f t="shared" si="142"/>
        <v>0.00354026302242427</v>
      </c>
      <c r="AZ87" t="str">
        <f t="shared" si="116"/>
        <v>1+0,169255409489297i</v>
      </c>
      <c r="BA87">
        <f t="shared" si="143"/>
        <v>1.01422255626731</v>
      </c>
      <c r="BB87">
        <f t="shared" si="144"/>
        <v>0.167666391966108</v>
      </c>
      <c r="BC87" s="30" t="str">
        <f t="shared" si="145"/>
        <v>-0,653106597280829+3,94350195687981i</v>
      </c>
      <c r="BD87" s="32">
        <f t="shared" si="146"/>
        <v>12.035157822517</v>
      </c>
      <c r="BE87" s="31">
        <f t="shared" si="147"/>
        <v>99.403734496293</v>
      </c>
      <c r="BF87" s="30" t="str">
        <f t="shared" si="148"/>
        <v>79,9438434138082+346,053727262682i</v>
      </c>
      <c r="BG87" s="68">
        <f t="shared" si="149"/>
        <v>51.0086728770034</v>
      </c>
      <c r="BH87" s="31">
        <f t="shared" si="150"/>
        <v>76.9919764000788</v>
      </c>
      <c r="BI87" s="30" t="str">
        <f t="shared" si="103"/>
        <v>-63,6675214724876+940,022296889295i</v>
      </c>
      <c r="BJ87" s="68">
        <f t="shared" si="151"/>
        <v>59.4826400458604</v>
      </c>
      <c r="BK87" s="31">
        <f t="shared" si="104"/>
        <v>93.874714017155</v>
      </c>
      <c r="BL87" s="32">
        <f t="shared" si="152"/>
        <v>51.0086728770034</v>
      </c>
      <c r="BM87" s="31">
        <f t="shared" si="153"/>
        <v>76.9919764000788</v>
      </c>
      <c r="BO87">
        <f t="shared" si="154"/>
        <v>0</v>
      </c>
      <c r="BP87">
        <f t="shared" si="155"/>
        <v>0</v>
      </c>
    </row>
    <row r="88" spans="14:68">
      <c r="N88" s="7">
        <v>70</v>
      </c>
      <c r="O88" s="18">
        <f t="shared" si="117"/>
        <v>50.1187233627272</v>
      </c>
      <c r="P88" s="86" t="str">
        <f t="shared" si="105"/>
        <v>96,0576923076923</v>
      </c>
      <c r="Q88" s="4" t="str">
        <f t="shared" si="106"/>
        <v>1+0,420350030082243i</v>
      </c>
      <c r="R88" s="4">
        <f t="shared" si="118"/>
        <v>1.08475534006067</v>
      </c>
      <c r="S88" s="4">
        <f t="shared" si="119"/>
        <v>0.397925497757033</v>
      </c>
      <c r="T88" s="4" t="str">
        <f t="shared" si="107"/>
        <v>1+0,00493771394755745i</v>
      </c>
      <c r="U88" s="4">
        <f t="shared" si="120"/>
        <v>1.00001219043521</v>
      </c>
      <c r="V88" s="4">
        <f t="shared" si="121"/>
        <v>0.0049376738193119</v>
      </c>
      <c r="W88" t="str">
        <f t="shared" si="108"/>
        <v>1-0,00234429446206313i</v>
      </c>
      <c r="X88" s="4">
        <f t="shared" si="122"/>
        <v>1.00000274785449</v>
      </c>
      <c r="Y88" s="4">
        <f t="shared" si="123"/>
        <v>-0.00234429016755135</v>
      </c>
      <c r="Z88" t="str">
        <f t="shared" si="109"/>
        <v>0,999999979494805+0,00401856669315567i</v>
      </c>
      <c r="AA88" s="4">
        <f t="shared" si="124"/>
        <v>1.00000805390151</v>
      </c>
      <c r="AB88" s="4">
        <f t="shared" si="125"/>
        <v>0.00401854514398398</v>
      </c>
      <c r="AC88" s="67" t="str">
        <f t="shared" si="126"/>
        <v>81,5851008470235-34,4311982155298i</v>
      </c>
      <c r="AD88" s="68">
        <f t="shared" si="127"/>
        <v>38.944066839939</v>
      </c>
      <c r="AE88" s="31">
        <f t="shared" si="128"/>
        <v>-22.8811073207494</v>
      </c>
      <c r="AF88" s="32" t="str">
        <f t="shared" si="129"/>
        <v>236,914774604583</v>
      </c>
      <c r="AG88" s="32" t="str">
        <f t="shared" si="110"/>
        <v>1+0,103804213670242i</v>
      </c>
      <c r="AH88" s="32">
        <f t="shared" si="130"/>
        <v>1.00537322163249</v>
      </c>
      <c r="AI88" s="32">
        <f t="shared" si="131"/>
        <v>0.10343376473355</v>
      </c>
      <c r="AJ88" s="32" t="str">
        <f t="shared" si="111"/>
        <v>1+0,00493771394755745i</v>
      </c>
      <c r="AK88" s="32">
        <f t="shared" si="132"/>
        <v>1.00001219043521</v>
      </c>
      <c r="AL88" s="32">
        <f t="shared" si="133"/>
        <v>0.0049376738193119</v>
      </c>
      <c r="AM88" s="32" t="str">
        <f t="shared" si="112"/>
        <v>1-0,000234716497452962i</v>
      </c>
      <c r="AN88" s="32">
        <f t="shared" si="134"/>
        <v>1.00000002754592</v>
      </c>
      <c r="AO88" s="32">
        <f t="shared" si="135"/>
        <v>-0.000234716493142641</v>
      </c>
      <c r="AP88" s="30" t="str">
        <f t="shared" si="136"/>
        <v>234,503855965287-23,2282787902589i</v>
      </c>
      <c r="AQ88" s="32">
        <f t="shared" si="137"/>
        <v>47.4454027587072</v>
      </c>
      <c r="AR88" s="31">
        <f t="shared" si="138"/>
        <v>-5.6568585723619</v>
      </c>
      <c r="AS88" t="str">
        <f t="shared" si="113"/>
        <v>-0,000272527472527473</v>
      </c>
      <c r="AT88" t="str">
        <f t="shared" si="114"/>
        <v>0,0000707592043377651i</v>
      </c>
      <c r="AU88">
        <f t="shared" si="139"/>
        <v>7.07592043377651e-5</v>
      </c>
      <c r="AV88">
        <f t="shared" si="140"/>
        <v>1.5707963267949</v>
      </c>
      <c r="AW88" t="str">
        <f t="shared" si="115"/>
        <v>1+0,00362274147685463i</v>
      </c>
      <c r="AX88">
        <f t="shared" si="141"/>
        <v>1.00000656210637</v>
      </c>
      <c r="AY88">
        <f t="shared" si="142"/>
        <v>0.00362272562838414</v>
      </c>
      <c r="AZ88" t="str">
        <f t="shared" si="116"/>
        <v>1+0,173197874436007i</v>
      </c>
      <c r="BA88">
        <f t="shared" si="143"/>
        <v>1.01488792667425</v>
      </c>
      <c r="BB88">
        <f t="shared" si="144"/>
        <v>0.171496557565895</v>
      </c>
      <c r="BC88" s="30" t="str">
        <f t="shared" si="145"/>
        <v>-0,653106211503132+3,85384338095536i</v>
      </c>
      <c r="BD88" s="32">
        <f t="shared" si="146"/>
        <v>11.8408516785631</v>
      </c>
      <c r="BE88" s="31">
        <f t="shared" si="147"/>
        <v>99.6184620607079</v>
      </c>
      <c r="BF88" s="30" t="str">
        <f t="shared" si="148"/>
        <v>79,408709211981+336,903430307935i</v>
      </c>
      <c r="BG88" s="68">
        <f t="shared" si="149"/>
        <v>50.7849185185021</v>
      </c>
      <c r="BH88" s="31">
        <f t="shared" si="150"/>
        <v>76.7373547399585</v>
      </c>
      <c r="BI88" s="30" t="str">
        <f t="shared" si="103"/>
        <v>-63,6377764855397+918,911666280775i</v>
      </c>
      <c r="BJ88" s="68">
        <f t="shared" si="151"/>
        <v>59.2862544372703</v>
      </c>
      <c r="BK88" s="31">
        <f t="shared" si="104"/>
        <v>93.961603488346</v>
      </c>
      <c r="BL88" s="32">
        <f t="shared" si="152"/>
        <v>50.7849185185021</v>
      </c>
      <c r="BM88" s="31">
        <f t="shared" si="153"/>
        <v>76.7373547399585</v>
      </c>
      <c r="BO88">
        <f t="shared" si="154"/>
        <v>0</v>
      </c>
      <c r="BP88">
        <f t="shared" si="155"/>
        <v>0</v>
      </c>
    </row>
    <row r="89" spans="14:68">
      <c r="N89" s="7">
        <v>71</v>
      </c>
      <c r="O89" s="18">
        <f t="shared" si="117"/>
        <v>51.2861383991365</v>
      </c>
      <c r="P89" s="86" t="str">
        <f t="shared" si="105"/>
        <v>96,0576923076923</v>
      </c>
      <c r="Q89" s="4" t="str">
        <f t="shared" si="106"/>
        <v>1+0,430141240088163i</v>
      </c>
      <c r="R89" s="4">
        <f t="shared" si="118"/>
        <v>1.08858692185079</v>
      </c>
      <c r="S89" s="4">
        <f t="shared" si="119"/>
        <v>0.406217252214538</v>
      </c>
      <c r="T89" s="4" t="str">
        <f t="shared" si="107"/>
        <v>1+0,00505272808042247i</v>
      </c>
      <c r="U89" s="4">
        <f t="shared" si="120"/>
        <v>1.00001276494906</v>
      </c>
      <c r="V89" s="4">
        <f t="shared" si="121"/>
        <v>0.00505268508226232</v>
      </c>
      <c r="W89" t="str">
        <f t="shared" si="108"/>
        <v>1-0,00239890009487178i</v>
      </c>
      <c r="X89" s="4">
        <f t="shared" si="122"/>
        <v>1.00000287735669</v>
      </c>
      <c r="Y89" s="4">
        <f t="shared" si="123"/>
        <v>-0.00239889549322022</v>
      </c>
      <c r="Z89" t="str">
        <f t="shared" si="109"/>
        <v>0,999999978528425+0,00411217113611903i</v>
      </c>
      <c r="AA89" s="4">
        <f t="shared" si="124"/>
        <v>1.00000843346859</v>
      </c>
      <c r="AB89" s="4">
        <f t="shared" si="125"/>
        <v>0.00411214804577607</v>
      </c>
      <c r="AC89" s="67" t="str">
        <f t="shared" si="126"/>
        <v>81,0095228702609-34,9856241344768i</v>
      </c>
      <c r="AD89" s="68">
        <f t="shared" si="127"/>
        <v>38.9134433442337</v>
      </c>
      <c r="AE89" s="31">
        <f t="shared" si="128"/>
        <v>-23.3580919018823</v>
      </c>
      <c r="AF89" s="32" t="str">
        <f t="shared" si="129"/>
        <v>236,914774604583</v>
      </c>
      <c r="AG89" s="32" t="str">
        <f t="shared" si="110"/>
        <v>1+0,106222124417972i</v>
      </c>
      <c r="AH89" s="32">
        <f t="shared" si="130"/>
        <v>1.00562574535255</v>
      </c>
      <c r="AI89" s="32">
        <f t="shared" si="131"/>
        <v>0.105825301064722</v>
      </c>
      <c r="AJ89" s="32" t="str">
        <f t="shared" si="111"/>
        <v>1+0,00505272808042247i</v>
      </c>
      <c r="AK89" s="32">
        <f t="shared" si="132"/>
        <v>1.00001276494906</v>
      </c>
      <c r="AL89" s="32">
        <f t="shared" si="133"/>
        <v>0.00505268508226232</v>
      </c>
      <c r="AM89" s="32" t="str">
        <f t="shared" si="112"/>
        <v>1-0,000240183747016299i</v>
      </c>
      <c r="AN89" s="32">
        <f t="shared" si="134"/>
        <v>1.00000002884412</v>
      </c>
      <c r="AO89" s="32">
        <f t="shared" si="135"/>
        <v>-0.000240183742397707</v>
      </c>
      <c r="AP89" s="30" t="str">
        <f t="shared" si="136"/>
        <v>234,391500591726-23,757400282346i</v>
      </c>
      <c r="AQ89" s="32">
        <f t="shared" si="137"/>
        <v>47.4432263634646</v>
      </c>
      <c r="AR89" s="31">
        <f t="shared" si="138"/>
        <v>-5.7876071010346</v>
      </c>
      <c r="AS89" t="str">
        <f t="shared" si="113"/>
        <v>-0,000272527472527473</v>
      </c>
      <c r="AT89" t="str">
        <f t="shared" si="114"/>
        <v>0,0000724073979381971i</v>
      </c>
      <c r="AU89">
        <f t="shared" si="139"/>
        <v>7.24073979381971e-5</v>
      </c>
      <c r="AV89">
        <f t="shared" si="140"/>
        <v>1.5707963267949</v>
      </c>
      <c r="AW89" t="str">
        <f t="shared" si="115"/>
        <v>1+0,00370712596611017i</v>
      </c>
      <c r="AX89">
        <f t="shared" si="141"/>
        <v>1.00000687136786</v>
      </c>
      <c r="AY89">
        <f t="shared" si="142"/>
        <v>0.00370710898417438</v>
      </c>
      <c r="AZ89" t="str">
        <f t="shared" si="116"/>
        <v>1+0,177232171188288i</v>
      </c>
      <c r="BA89">
        <f t="shared" si="143"/>
        <v>1.01558418779741</v>
      </c>
      <c r="BB89">
        <f t="shared" si="144"/>
        <v>0.175410684746759</v>
      </c>
      <c r="BC89" s="30" t="str">
        <f t="shared" si="145"/>
        <v>-0,653105807544778+3,76622816367135i</v>
      </c>
      <c r="BD89" s="32">
        <f t="shared" si="146"/>
        <v>11.6468058803952</v>
      </c>
      <c r="BE89" s="31">
        <f t="shared" si="147"/>
        <v>99.8378902185009</v>
      </c>
      <c r="BF89" s="30" t="str">
        <f t="shared" si="148"/>
        <v>78,8560530858877+327,94966086236i</v>
      </c>
      <c r="BG89" s="68">
        <f t="shared" si="149"/>
        <v>50.5602492246289</v>
      </c>
      <c r="BH89" s="31">
        <f t="shared" si="150"/>
        <v>76.4797983166185</v>
      </c>
      <c r="BI89" s="30" t="str">
        <f t="shared" si="103"/>
        <v>-63,6066602366063+898,287966950315i</v>
      </c>
      <c r="BJ89" s="68">
        <f t="shared" si="151"/>
        <v>59.0900322438597</v>
      </c>
      <c r="BK89" s="31">
        <f t="shared" si="104"/>
        <v>94.0502831174663</v>
      </c>
      <c r="BL89" s="32">
        <f t="shared" si="152"/>
        <v>50.5602492246289</v>
      </c>
      <c r="BM89" s="31">
        <f t="shared" si="153"/>
        <v>76.4797983166185</v>
      </c>
      <c r="BO89">
        <f t="shared" si="154"/>
        <v>0</v>
      </c>
      <c r="BP89">
        <f t="shared" si="155"/>
        <v>0</v>
      </c>
    </row>
    <row r="90" spans="14:68">
      <c r="N90" s="7">
        <v>72</v>
      </c>
      <c r="O90" s="18">
        <f t="shared" si="117"/>
        <v>52.4807460249773</v>
      </c>
      <c r="P90" s="86" t="str">
        <f t="shared" si="105"/>
        <v>96,0576923076923</v>
      </c>
      <c r="Q90" s="4" t="str">
        <f t="shared" si="106"/>
        <v>1+0,440160516673171i</v>
      </c>
      <c r="R90" s="4">
        <f t="shared" si="118"/>
        <v>1.09258467884096</v>
      </c>
      <c r="S90" s="4">
        <f t="shared" si="119"/>
        <v>0.414641347753956</v>
      </c>
      <c r="T90" s="4" t="str">
        <f t="shared" si="107"/>
        <v>1+0,00517042123659651i</v>
      </c>
      <c r="U90" s="4">
        <f t="shared" si="120"/>
        <v>1.00001336653855</v>
      </c>
      <c r="V90" s="4">
        <f t="shared" si="121"/>
        <v>0.00517037516327108</v>
      </c>
      <c r="W90" t="str">
        <f t="shared" si="108"/>
        <v>1-0,00245477765626394i</v>
      </c>
      <c r="X90" s="4">
        <f t="shared" si="122"/>
        <v>1.00000301296213</v>
      </c>
      <c r="Y90" s="4">
        <f t="shared" si="123"/>
        <v>-0.00245477272550626</v>
      </c>
      <c r="Z90" t="str">
        <f t="shared" si="109"/>
        <v>0,9999999775165+0,0042079559066498i</v>
      </c>
      <c r="AA90" s="4">
        <f t="shared" si="124"/>
        <v>1.00000883092396</v>
      </c>
      <c r="AB90" s="4">
        <f t="shared" si="125"/>
        <v>0.00420793116491336</v>
      </c>
      <c r="AC90" s="67" t="str">
        <f t="shared" si="126"/>
        <v>80,4154256063763-35,5390459659639i</v>
      </c>
      <c r="AD90" s="68">
        <f t="shared" si="127"/>
        <v>38.8816064207374</v>
      </c>
      <c r="AE90" s="31">
        <f t="shared" si="128"/>
        <v>-23.8427033756297</v>
      </c>
      <c r="AF90" s="32" t="str">
        <f t="shared" si="129"/>
        <v>236,914774604583</v>
      </c>
      <c r="AG90" s="32" t="str">
        <f t="shared" si="110"/>
        <v>1+0,108696355542086i</v>
      </c>
      <c r="AH90" s="32">
        <f t="shared" si="130"/>
        <v>1.00589010220209</v>
      </c>
      <c r="AI90" s="32">
        <f t="shared" si="131"/>
        <v>0.108271286015496</v>
      </c>
      <c r="AJ90" s="32" t="str">
        <f t="shared" si="111"/>
        <v>1+0,00517042123659651i</v>
      </c>
      <c r="AK90" s="32">
        <f t="shared" si="132"/>
        <v>1.00001336653855</v>
      </c>
      <c r="AL90" s="32">
        <f t="shared" si="133"/>
        <v>0.00517037516327108</v>
      </c>
      <c r="AM90" s="32" t="str">
        <f t="shared" si="112"/>
        <v>1-0,000245778345181513i</v>
      </c>
      <c r="AN90" s="32">
        <f t="shared" si="134"/>
        <v>1.0000000302035</v>
      </c>
      <c r="AO90" s="32">
        <f t="shared" si="135"/>
        <v>-0.000245778340232603</v>
      </c>
      <c r="AP90" s="30" t="str">
        <f t="shared" si="136"/>
        <v>234,273970951838-24,2980061802097i</v>
      </c>
      <c r="AQ90" s="32">
        <f t="shared" si="137"/>
        <v>47.4409485716168</v>
      </c>
      <c r="AR90" s="31">
        <f t="shared" si="138"/>
        <v>-5.92132911737813</v>
      </c>
      <c r="AS90" t="str">
        <f t="shared" si="113"/>
        <v>-0,000272527472527473</v>
      </c>
      <c r="AT90" t="str">
        <f t="shared" si="114"/>
        <v>0,000074093982899441i</v>
      </c>
      <c r="AU90">
        <f t="shared" si="139"/>
        <v>7.4093982899441e-5</v>
      </c>
      <c r="AV90">
        <f t="shared" si="140"/>
        <v>1.5707963267949</v>
      </c>
      <c r="AW90" t="str">
        <f t="shared" si="115"/>
        <v>1+0,00379347602262256i</v>
      </c>
      <c r="AX90">
        <f t="shared" si="141"/>
        <v>1.00000719520428</v>
      </c>
      <c r="AY90">
        <f t="shared" si="142"/>
        <v>0.0037934578261576</v>
      </c>
      <c r="AZ90" t="str">
        <f t="shared" si="116"/>
        <v>1+0,181360438783678i</v>
      </c>
      <c r="BA90">
        <f t="shared" si="143"/>
        <v>1.016312751448</v>
      </c>
      <c r="BB90">
        <f t="shared" si="144"/>
        <v>0.179410368864225</v>
      </c>
      <c r="BC90" s="30" t="str">
        <f t="shared" si="145"/>
        <v>-0,653105384548988+3,68060985027046i</v>
      </c>
      <c r="BD90" s="32">
        <f t="shared" si="146"/>
        <v>11.4530319501973</v>
      </c>
      <c r="BE90" s="31">
        <f t="shared" si="147"/>
        <v>100.062107813606</v>
      </c>
      <c r="BF90" s="30" t="str">
        <f t="shared" si="148"/>
        <v>78,2856151872184+319,188549882625i</v>
      </c>
      <c r="BG90" s="68">
        <f t="shared" si="149"/>
        <v>50.3346383709347</v>
      </c>
      <c r="BH90" s="31">
        <f t="shared" si="150"/>
        <v>76.2194044379759</v>
      </c>
      <c r="BI90" s="30" t="str">
        <f t="shared" si="103"/>
        <v>-63,5741109995063+878,14024381741i</v>
      </c>
      <c r="BJ90" s="68">
        <f t="shared" si="151"/>
        <v>58.8939805218141</v>
      </c>
      <c r="BK90" s="31">
        <f t="shared" si="104"/>
        <v>94.1407786962275</v>
      </c>
      <c r="BL90" s="32">
        <f t="shared" si="152"/>
        <v>50.3346383709347</v>
      </c>
      <c r="BM90" s="31">
        <f t="shared" si="153"/>
        <v>76.2194044379759</v>
      </c>
      <c r="BO90">
        <f t="shared" si="154"/>
        <v>0</v>
      </c>
      <c r="BP90">
        <f t="shared" si="155"/>
        <v>0</v>
      </c>
    </row>
    <row r="91" spans="14:68">
      <c r="N91" s="7">
        <v>73</v>
      </c>
      <c r="O91" s="18">
        <f t="shared" si="117"/>
        <v>53.7031796370253</v>
      </c>
      <c r="P91" s="86" t="str">
        <f t="shared" si="105"/>
        <v>96,0576923076923</v>
      </c>
      <c r="Q91" s="4" t="str">
        <f t="shared" si="106"/>
        <v>1+0,450413172190331i</v>
      </c>
      <c r="R91" s="4">
        <f t="shared" si="118"/>
        <v>1.09675522596546</v>
      </c>
      <c r="S91" s="4">
        <f t="shared" si="119"/>
        <v>0.423197467339031</v>
      </c>
      <c r="T91" s="4" t="str">
        <f t="shared" si="107"/>
        <v>1+0,00529085581854879i</v>
      </c>
      <c r="U91" s="4">
        <f t="shared" si="120"/>
        <v>1.0000139964797</v>
      </c>
      <c r="V91" s="4">
        <f t="shared" si="121"/>
        <v>0.00529080645012845</v>
      </c>
      <c r="W91" t="str">
        <f t="shared" si="108"/>
        <v>1-0,00251195677326226i</v>
      </c>
      <c r="X91" s="4">
        <f t="shared" si="122"/>
        <v>1.00000315495844</v>
      </c>
      <c r="Y91" s="4">
        <f t="shared" si="123"/>
        <v>-0.00251195148986112</v>
      </c>
      <c r="Z91" t="str">
        <f t="shared" si="109"/>
        <v>0,999999976456886+0,00430597179110114i</v>
      </c>
      <c r="AA91" s="4">
        <f t="shared" si="124"/>
        <v>1.00000924711066</v>
      </c>
      <c r="AB91" s="4">
        <f t="shared" si="125"/>
        <v>0.00430594527986614</v>
      </c>
      <c r="AC91" s="67" t="str">
        <f t="shared" si="126"/>
        <v>79,8025612623505-36,0908146415928i</v>
      </c>
      <c r="AD91" s="68">
        <f t="shared" si="127"/>
        <v>38.8485173848147</v>
      </c>
      <c r="AE91" s="31">
        <f t="shared" si="128"/>
        <v>-24.3349246094003</v>
      </c>
      <c r="AF91" s="32" t="str">
        <f t="shared" si="129"/>
        <v>236,914774604583</v>
      </c>
      <c r="AG91" s="32" t="str">
        <f t="shared" si="110"/>
        <v>1+0,111228218912673i</v>
      </c>
      <c r="AH91" s="32">
        <f t="shared" si="130"/>
        <v>1.00616684336271</v>
      </c>
      <c r="AI91" s="32">
        <f t="shared" si="131"/>
        <v>0.110772899344174</v>
      </c>
      <c r="AJ91" s="32" t="str">
        <f t="shared" si="111"/>
        <v>1+0,00529085581854879i</v>
      </c>
      <c r="AK91" s="32">
        <f t="shared" si="132"/>
        <v>1.0000139964797</v>
      </c>
      <c r="AL91" s="32">
        <f t="shared" si="133"/>
        <v>0.00529080645012845</v>
      </c>
      <c r="AM91" s="32" t="str">
        <f t="shared" si="112"/>
        <v>1-0,000251503258278602i</v>
      </c>
      <c r="AN91" s="32">
        <f t="shared" si="134"/>
        <v>1.00000003162694</v>
      </c>
      <c r="AO91" s="32">
        <f t="shared" si="135"/>
        <v>-0.000251503252975749</v>
      </c>
      <c r="AP91" s="30" t="str">
        <f t="shared" si="136"/>
        <v>234,151034643177-24,8503054639507i</v>
      </c>
      <c r="AQ91" s="32">
        <f t="shared" si="137"/>
        <v>47.4385647163764</v>
      </c>
      <c r="AR91" s="31">
        <f t="shared" si="138"/>
        <v>-6.05808881196504</v>
      </c>
      <c r="AS91" t="str">
        <f t="shared" si="113"/>
        <v>-0,000272527472527473</v>
      </c>
      <c r="AT91" t="str">
        <f t="shared" si="114"/>
        <v>0,000075819853471168i</v>
      </c>
      <c r="AU91">
        <f t="shared" si="139"/>
        <v>7.5819853471168e-5</v>
      </c>
      <c r="AV91">
        <f t="shared" si="140"/>
        <v>1.5707963267949</v>
      </c>
      <c r="AW91" t="str">
        <f t="shared" si="115"/>
        <v>1+0,00388183743033473i</v>
      </c>
      <c r="AX91">
        <f t="shared" si="141"/>
        <v>1.00000753430253</v>
      </c>
      <c r="AY91">
        <f t="shared" si="142"/>
        <v>0.00388181793247917</v>
      </c>
      <c r="AZ91" t="str">
        <f t="shared" si="116"/>
        <v>1+0,1855848660843i</v>
      </c>
      <c r="BA91">
        <f t="shared" si="143"/>
        <v>1.01707509187844</v>
      </c>
      <c r="BB91">
        <f t="shared" si="144"/>
        <v>0.183497218471946</v>
      </c>
      <c r="BC91" s="30" t="str">
        <f t="shared" si="145"/>
        <v>-0,653104941618609+3,59694304477951i</v>
      </c>
      <c r="BD91" s="32">
        <f t="shared" si="146"/>
        <v>11.2595418845019</v>
      </c>
      <c r="BE91" s="31">
        <f t="shared" si="147"/>
        <v>100.291204386463</v>
      </c>
      <c r="BF91" s="30" t="str">
        <f t="shared" si="148"/>
        <v>77,6971575912408+310,616357077668i</v>
      </c>
      <c r="BG91" s="68">
        <f t="shared" si="149"/>
        <v>50.1080592693166</v>
      </c>
      <c r="BH91" s="31">
        <f t="shared" si="150"/>
        <v>75.956279777063</v>
      </c>
      <c r="BI91" s="30" t="str">
        <f t="shared" si="103"/>
        <v>-63,5400644113653+858,45779278694i</v>
      </c>
      <c r="BJ91" s="68">
        <f t="shared" si="151"/>
        <v>58.6981066008782</v>
      </c>
      <c r="BK91" s="31">
        <f t="shared" si="104"/>
        <v>94.2331155744982</v>
      </c>
      <c r="BL91" s="32">
        <f t="shared" si="152"/>
        <v>50.1080592693166</v>
      </c>
      <c r="BM91" s="31">
        <f t="shared" si="153"/>
        <v>75.956279777063</v>
      </c>
      <c r="BO91">
        <f t="shared" si="154"/>
        <v>0</v>
      </c>
      <c r="BP91">
        <f t="shared" si="155"/>
        <v>0</v>
      </c>
    </row>
    <row r="92" spans="14:68">
      <c r="N92" s="7">
        <v>74</v>
      </c>
      <c r="O92" s="18">
        <f t="shared" si="117"/>
        <v>54.9540873857625</v>
      </c>
      <c r="P92" s="86" t="str">
        <f t="shared" si="105"/>
        <v>96,0576923076923</v>
      </c>
      <c r="Q92" s="4" t="str">
        <f t="shared" si="106"/>
        <v>1+0,460904642733311i</v>
      </c>
      <c r="R92" s="4">
        <f t="shared" si="118"/>
        <v>1.10110539445283</v>
      </c>
      <c r="S92" s="4">
        <f t="shared" si="119"/>
        <v>0.431885135538705</v>
      </c>
      <c r="T92" s="4" t="str">
        <f t="shared" si="107"/>
        <v>1+0,00541409568228884i</v>
      </c>
      <c r="U92" s="4">
        <f t="shared" si="120"/>
        <v>1.00001465610863</v>
      </c>
      <c r="V92" s="4">
        <f t="shared" si="121"/>
        <v>0.00541404278311525</v>
      </c>
      <c r="W92" t="str">
        <f t="shared" si="108"/>
        <v>1-0,00257046776299144i</v>
      </c>
      <c r="X92" s="4">
        <f t="shared" si="122"/>
        <v>1.0000033036468</v>
      </c>
      <c r="Y92" s="4">
        <f t="shared" si="123"/>
        <v>-0.00257046210172613</v>
      </c>
      <c r="Z92" t="str">
        <f t="shared" si="109"/>
        <v>0,999999975347333+0,00440627075879241i</v>
      </c>
      <c r="AA92" s="4">
        <f t="shared" si="124"/>
        <v>1.00000968291145</v>
      </c>
      <c r="AB92" s="4">
        <f t="shared" si="125"/>
        <v>0.00440624235150716</v>
      </c>
      <c r="AC92" s="67" t="str">
        <f t="shared" si="126"/>
        <v>79,1707071883605-36,6402533667893i</v>
      </c>
      <c r="AD92" s="68">
        <f t="shared" si="127"/>
        <v>38.8141370636112</v>
      </c>
      <c r="AE92" s="31">
        <f t="shared" si="128"/>
        <v>-24.8347294193079</v>
      </c>
      <c r="AF92" s="32" t="str">
        <f t="shared" si="129"/>
        <v>236,914774604583</v>
      </c>
      <c r="AG92" s="32" t="str">
        <f t="shared" si="110"/>
        <v>1+0,113819056957208i</v>
      </c>
      <c r="AH92" s="32">
        <f t="shared" si="130"/>
        <v>1.00645654537423</v>
      </c>
      <c r="AI92" s="32">
        <f t="shared" si="131"/>
        <v>0.113331342129074</v>
      </c>
      <c r="AJ92" s="32" t="str">
        <f t="shared" si="111"/>
        <v>1+0,00541409568228884i</v>
      </c>
      <c r="AK92" s="32">
        <f t="shared" si="132"/>
        <v>1.00001465610863</v>
      </c>
      <c r="AL92" s="32">
        <f t="shared" si="133"/>
        <v>0.00541404278311525</v>
      </c>
      <c r="AM92" s="32" t="str">
        <f t="shared" si="112"/>
        <v>1-0,00025736152173227i</v>
      </c>
      <c r="AN92" s="32">
        <f t="shared" si="134"/>
        <v>1.00000003311748</v>
      </c>
      <c r="AO92" s="32">
        <f t="shared" si="135"/>
        <v>-0.000257361516050161</v>
      </c>
      <c r="AP92" s="30" t="str">
        <f t="shared" si="136"/>
        <v>234,022449385044-25,4145079844777i</v>
      </c>
      <c r="AQ92" s="32">
        <f t="shared" si="137"/>
        <v>47.4360699216135</v>
      </c>
      <c r="AR92" s="31">
        <f t="shared" si="138"/>
        <v>-6.1979515176521</v>
      </c>
      <c r="AS92" t="str">
        <f t="shared" si="113"/>
        <v>-0,000272527472527473</v>
      </c>
      <c r="AT92" t="str">
        <f t="shared" si="114"/>
        <v>0,0000775859247327999i</v>
      </c>
      <c r="AU92">
        <f t="shared" si="139"/>
        <v>7.75859247327999e-5</v>
      </c>
      <c r="AV92">
        <f t="shared" si="140"/>
        <v>1.5707963267949</v>
      </c>
      <c r="AW92" t="str">
        <f t="shared" si="115"/>
        <v>1+0,00397225703963466i</v>
      </c>
      <c r="AX92">
        <f t="shared" si="141"/>
        <v>1.00000788938187</v>
      </c>
      <c r="AY92">
        <f t="shared" si="142"/>
        <v>0.00397223614731492</v>
      </c>
      <c r="AZ92" t="str">
        <f t="shared" si="116"/>
        <v>1+0,189907692937427i</v>
      </c>
      <c r="BA92">
        <f t="shared" si="143"/>
        <v>1.01787274835159</v>
      </c>
      <c r="BB92">
        <f t="shared" si="144"/>
        <v>0.187672854123996</v>
      </c>
      <c r="BC92" s="30" t="str">
        <f t="shared" si="145"/>
        <v>-0,653104477814211+3,51518338594i</v>
      </c>
      <c r="BD92" s="32">
        <f t="shared" si="146"/>
        <v>11.066348170407</v>
      </c>
      <c r="BE92" s="31">
        <f t="shared" si="147"/>
        <v>100.525270104009</v>
      </c>
      <c r="BF92" s="30" t="str">
        <f t="shared" si="148"/>
        <v>77,0904665151339+302,229468103743i</v>
      </c>
      <c r="BG92" s="68">
        <f t="shared" si="149"/>
        <v>49.8804852340182</v>
      </c>
      <c r="BH92" s="31">
        <f t="shared" si="150"/>
        <v>75.690540684701</v>
      </c>
      <c r="BI92" s="30" t="str">
        <f t="shared" si="103"/>
        <v>-63,5044533735463+839,230154981399i</v>
      </c>
      <c r="BJ92" s="68">
        <f t="shared" si="151"/>
        <v>58.5024180920205</v>
      </c>
      <c r="BK92" s="31">
        <f t="shared" si="104"/>
        <v>94.3273185863568</v>
      </c>
      <c r="BL92" s="32">
        <f t="shared" si="152"/>
        <v>49.8804852340182</v>
      </c>
      <c r="BM92" s="31">
        <f t="shared" si="153"/>
        <v>75.690540684701</v>
      </c>
      <c r="BO92">
        <f t="shared" si="154"/>
        <v>0</v>
      </c>
      <c r="BP92">
        <f t="shared" si="155"/>
        <v>0</v>
      </c>
    </row>
    <row r="93" spans="14:68">
      <c r="N93" s="7">
        <v>75</v>
      </c>
      <c r="O93" s="18">
        <f t="shared" si="117"/>
        <v>56.2341325190349</v>
      </c>
      <c r="P93" s="86" t="str">
        <f t="shared" si="105"/>
        <v>96,0576923076923</v>
      </c>
      <c r="Q93" s="4" t="str">
        <f t="shared" si="106"/>
        <v>1+0,471640491018662i</v>
      </c>
      <c r="R93" s="4">
        <f t="shared" si="118"/>
        <v>1.10564223543076</v>
      </c>
      <c r="S93" s="4">
        <f t="shared" si="119"/>
        <v>0.44070371198232</v>
      </c>
      <c r="T93" s="4" t="str">
        <f t="shared" si="107"/>
        <v>1+0,00554020617122365i</v>
      </c>
      <c r="U93" s="4">
        <f t="shared" si="120"/>
        <v>1.00001534682445</v>
      </c>
      <c r="V93" s="4">
        <f t="shared" si="121"/>
        <v>0.0055401494887849</v>
      </c>
      <c r="W93" t="str">
        <f t="shared" si="108"/>
        <v>1-0,00263034164875273i</v>
      </c>
      <c r="X93" s="4">
        <f t="shared" si="122"/>
        <v>1.00000345934261</v>
      </c>
      <c r="Y93" s="4">
        <f t="shared" si="123"/>
        <v>-0.00263033558259879</v>
      </c>
      <c r="Z93" t="str">
        <f t="shared" si="109"/>
        <v>0,999999974185488+0,00450890598956387i</v>
      </c>
      <c r="AA93" s="4">
        <f t="shared" si="124"/>
        <v>1.0000101392507</v>
      </c>
      <c r="AB93" s="4">
        <f t="shared" si="125"/>
        <v>0.00450887555062598</v>
      </c>
      <c r="AC93" s="67" t="str">
        <f t="shared" si="126"/>
        <v>78,5196682301672-37,1866583159123i</v>
      </c>
      <c r="AD93" s="68">
        <f t="shared" si="127"/>
        <v>38.7784258506768</v>
      </c>
      <c r="AE93" s="31">
        <f t="shared" si="128"/>
        <v>-25.3420821957436</v>
      </c>
      <c r="AF93" s="32" t="str">
        <f t="shared" si="129"/>
        <v>236,914774604583</v>
      </c>
      <c r="AG93" s="32" t="str">
        <f t="shared" si="110"/>
        <v>1+0,116470243372315i</v>
      </c>
      <c r="AH93" s="32">
        <f t="shared" si="130"/>
        <v>1.00675981127139</v>
      </c>
      <c r="AI93" s="32">
        <f t="shared" si="131"/>
        <v>0.115947836844895</v>
      </c>
      <c r="AJ93" s="32" t="str">
        <f t="shared" si="111"/>
        <v>1+0,00554020617122365i</v>
      </c>
      <c r="AK93" s="32">
        <f t="shared" si="132"/>
        <v>1.00001534682445</v>
      </c>
      <c r="AL93" s="32">
        <f t="shared" si="133"/>
        <v>0.0055401494887849</v>
      </c>
      <c r="AM93" s="32" t="str">
        <f t="shared" si="112"/>
        <v>1-0,000263356241671343i</v>
      </c>
      <c r="AN93" s="32">
        <f t="shared" si="134"/>
        <v>1.00000003467825</v>
      </c>
      <c r="AO93" s="32">
        <f t="shared" si="135"/>
        <v>-0.000263356235582853</v>
      </c>
      <c r="AP93" s="30" t="str">
        <f t="shared" si="136"/>
        <v>233,8879626522-25,9908242202745i</v>
      </c>
      <c r="AQ93" s="32">
        <f t="shared" si="137"/>
        <v>47.4334590929838</v>
      </c>
      <c r="AR93" s="31">
        <f t="shared" si="138"/>
        <v>-6.34098371211235</v>
      </c>
      <c r="AS93" t="str">
        <f t="shared" si="113"/>
        <v>-0,000272527472527473</v>
      </c>
      <c r="AT93" t="str">
        <f t="shared" si="114"/>
        <v>0,000079393133078696i</v>
      </c>
      <c r="AU93">
        <f t="shared" si="139"/>
        <v>7.9393133078696e-5</v>
      </c>
      <c r="AV93">
        <f t="shared" si="140"/>
        <v>1.5707963267949</v>
      </c>
      <c r="AW93" t="str">
        <f t="shared" si="115"/>
        <v>1+0,00406478279219604i</v>
      </c>
      <c r="AX93">
        <f t="shared" si="141"/>
        <v>1.00000826119545</v>
      </c>
      <c r="AY93">
        <f t="shared" si="142"/>
        <v>0.00406476040568209</v>
      </c>
      <c r="AZ93" t="str">
        <f t="shared" si="116"/>
        <v>1+0,194331211363074i</v>
      </c>
      <c r="BA93">
        <f t="shared" si="143"/>
        <v>1.01870732779824</v>
      </c>
      <c r="BB93">
        <f t="shared" si="144"/>
        <v>0.191938907065039</v>
      </c>
      <c r="BC93" s="30" t="str">
        <f t="shared" si="145"/>
        <v>-0,653103992152091+3,43528752368696i</v>
      </c>
      <c r="BD93" s="32">
        <f t="shared" si="146"/>
        <v>10.8734638020338</v>
      </c>
      <c r="BE93" s="31">
        <f t="shared" si="147"/>
        <v>100.764395683203</v>
      </c>
      <c r="BF93" s="30" t="str">
        <f t="shared" si="148"/>
        <v>76,4653545766836+294,024391636051i</v>
      </c>
      <c r="BG93" s="68">
        <f t="shared" si="149"/>
        <v>49.6518896527107</v>
      </c>
      <c r="BH93" s="31">
        <f t="shared" si="150"/>
        <v>75.4223134874595</v>
      </c>
      <c r="BI93" s="30" t="str">
        <f t="shared" si="103"/>
        <v>-63,4672079502212+820,447111097249i</v>
      </c>
      <c r="BJ93" s="68">
        <f t="shared" si="151"/>
        <v>58.3069228950177</v>
      </c>
      <c r="BK93" s="31">
        <f t="shared" si="104"/>
        <v>94.4234119710907</v>
      </c>
      <c r="BL93" s="32">
        <f t="shared" si="152"/>
        <v>49.6518896527107</v>
      </c>
      <c r="BM93" s="31">
        <f t="shared" si="153"/>
        <v>75.4223134874595</v>
      </c>
      <c r="BO93">
        <f t="shared" si="154"/>
        <v>0</v>
      </c>
      <c r="BP93">
        <f t="shared" si="155"/>
        <v>0</v>
      </c>
    </row>
    <row r="94" spans="14:68">
      <c r="N94" s="7">
        <v>76</v>
      </c>
      <c r="O94" s="18">
        <f t="shared" si="117"/>
        <v>57.5439937337157</v>
      </c>
      <c r="P94" s="86" t="str">
        <f t="shared" si="105"/>
        <v>96,0576923076923</v>
      </c>
      <c r="Q94" s="4" t="str">
        <f t="shared" si="106"/>
        <v>1+0,482626409335251i</v>
      </c>
      <c r="R94" s="4">
        <f t="shared" si="118"/>
        <v>1.11037302335199</v>
      </c>
      <c r="S94" s="4">
        <f t="shared" si="119"/>
        <v>0.449652385003884</v>
      </c>
      <c r="T94" s="4" t="str">
        <f t="shared" si="107"/>
        <v>1+0,00566925415080376i</v>
      </c>
      <c r="U94" s="4">
        <f t="shared" si="120"/>
        <v>1.00001607009219</v>
      </c>
      <c r="V94" s="4">
        <f t="shared" si="121"/>
        <v>0.00566919341452909</v>
      </c>
      <c r="W94" t="str">
        <f t="shared" si="108"/>
        <v>1-0,00269161017647288i</v>
      </c>
      <c r="X94" s="4">
        <f t="shared" si="122"/>
        <v>1.00000362237611</v>
      </c>
      <c r="Y94" s="4">
        <f t="shared" si="123"/>
        <v>-0.00269160367647309</v>
      </c>
      <c r="Z94" t="str">
        <f t="shared" si="109"/>
        <v>0,999999972968888+0,00461393190197343i</v>
      </c>
      <c r="AA94" s="4">
        <f t="shared" si="124"/>
        <v>1.00001061709632</v>
      </c>
      <c r="AB94" s="4">
        <f t="shared" si="125"/>
        <v>0.00461389928608255</v>
      </c>
      <c r="AC94" s="67" t="str">
        <f t="shared" si="126"/>
        <v>77,8492791097319-37,7292995214717i</v>
      </c>
      <c r="AD94" s="68">
        <f t="shared" si="127"/>
        <v>38.7413437655034</v>
      </c>
      <c r="AE94" s="31">
        <f t="shared" si="128"/>
        <v>-25.856937539793</v>
      </c>
      <c r="AF94" s="32" t="str">
        <f t="shared" si="129"/>
        <v>236,914774604583</v>
      </c>
      <c r="AG94" s="32" t="str">
        <f t="shared" si="110"/>
        <v>1+0,119183183852124i</v>
      </c>
      <c r="AH94" s="32">
        <f t="shared" si="130"/>
        <v>1.00707727176872</v>
      </c>
      <c r="AI94" s="32">
        <f t="shared" si="131"/>
        <v>0.118623627413237</v>
      </c>
      <c r="AJ94" s="32" t="str">
        <f t="shared" si="111"/>
        <v>1+0,00566925415080376i</v>
      </c>
      <c r="AK94" s="32">
        <f t="shared" si="132"/>
        <v>1.00001607009219</v>
      </c>
      <c r="AL94" s="32">
        <f t="shared" si="133"/>
        <v>0.00566919341452909</v>
      </c>
      <c r="AM94" s="32" t="str">
        <f t="shared" si="112"/>
        <v>1-0,000269490596575682i</v>
      </c>
      <c r="AN94" s="32">
        <f t="shared" si="134"/>
        <v>1.00000003631259</v>
      </c>
      <c r="AO94" s="32">
        <f t="shared" si="135"/>
        <v>-0.000269490590051748</v>
      </c>
      <c r="AP94" s="30" t="str">
        <f t="shared" si="136"/>
        <v>233,747311300258-26,5794650122704i</v>
      </c>
      <c r="AQ94" s="32">
        <f t="shared" si="137"/>
        <v>47.430726908729</v>
      </c>
      <c r="AR94" s="31">
        <f t="shared" si="138"/>
        <v>-6.48725301884347</v>
      </c>
      <c r="AS94" t="str">
        <f t="shared" si="113"/>
        <v>-0,000272527472527473</v>
      </c>
      <c r="AT94" t="str">
        <f t="shared" si="114"/>
        <v>0,000081242436714643i</v>
      </c>
      <c r="AU94">
        <f t="shared" si="139"/>
        <v>8.1242436714643e-5</v>
      </c>
      <c r="AV94">
        <f t="shared" si="140"/>
        <v>1.5707963267949</v>
      </c>
      <c r="AW94" t="str">
        <f t="shared" si="115"/>
        <v>1+0,00415946374639761i</v>
      </c>
      <c r="AX94">
        <f t="shared" si="141"/>
        <v>1.00000865053191</v>
      </c>
      <c r="AY94">
        <f t="shared" si="142"/>
        <v>0.00415943975882694</v>
      </c>
      <c r="AZ94" t="str">
        <f t="shared" si="116"/>
        <v>1+0,198857766769264i</v>
      </c>
      <c r="BA94">
        <f t="shared" si="143"/>
        <v>1.019580507564</v>
      </c>
      <c r="BB94">
        <f t="shared" si="144"/>
        <v>0.196297017802283</v>
      </c>
      <c r="BC94" s="30" t="str">
        <f t="shared" si="145"/>
        <v>-0,653103483602193+3,35721309616426i</v>
      </c>
      <c r="BD94" s="32">
        <f t="shared" si="146"/>
        <v>10.6809022971943</v>
      </c>
      <c r="BE94" s="31">
        <f t="shared" si="147"/>
        <v>101.008672307756</v>
      </c>
      <c r="BF94" s="30" t="str">
        <f t="shared" si="148"/>
        <v>75,8216630801034+285,997756305482i</v>
      </c>
      <c r="BG94" s="68">
        <f t="shared" si="149"/>
        <v>49.4222460626977</v>
      </c>
      <c r="BH94" s="31">
        <f t="shared" si="150"/>
        <v>75.1517347679625</v>
      </c>
      <c r="BI94" s="30" t="str">
        <f t="shared" si="103"/>
        <v>-63,4282552646108+802,098675882207i</v>
      </c>
      <c r="BJ94" s="68">
        <f t="shared" si="151"/>
        <v>58.1116292059233</v>
      </c>
      <c r="BK94" s="31">
        <f t="shared" si="104"/>
        <v>94.521419288912</v>
      </c>
      <c r="BL94" s="32">
        <f t="shared" si="152"/>
        <v>49.4222460626977</v>
      </c>
      <c r="BM94" s="31">
        <f t="shared" si="153"/>
        <v>75.1517347679625</v>
      </c>
      <c r="BO94">
        <f t="shared" si="154"/>
        <v>0</v>
      </c>
      <c r="BP94">
        <f t="shared" si="155"/>
        <v>0</v>
      </c>
    </row>
    <row r="95" spans="14:68">
      <c r="N95" s="7">
        <v>77</v>
      </c>
      <c r="O95" s="18">
        <f t="shared" si="117"/>
        <v>58.8843655355589</v>
      </c>
      <c r="P95" s="86" t="str">
        <f t="shared" si="105"/>
        <v>96,0576923076923</v>
      </c>
      <c r="Q95" s="4" t="str">
        <f t="shared" si="106"/>
        <v>1+0,493868222562385i</v>
      </c>
      <c r="R95" s="4">
        <f t="shared" si="118"/>
        <v>1.11530525922589</v>
      </c>
      <c r="S95" s="4">
        <f t="shared" si="119"/>
        <v>0.458730165522936</v>
      </c>
      <c r="T95" s="4" t="str">
        <f t="shared" si="107"/>
        <v>1+0,00580130804397606i</v>
      </c>
      <c r="U95" s="4">
        <f t="shared" si="120"/>
        <v>1.00001682744593</v>
      </c>
      <c r="V95" s="4">
        <f t="shared" si="121"/>
        <v>0.00580124296394437</v>
      </c>
      <c r="W95" t="str">
        <f t="shared" si="108"/>
        <v>1-0,00275430583153626i</v>
      </c>
      <c r="X95" s="4">
        <f t="shared" si="122"/>
        <v>1.00000379309311</v>
      </c>
      <c r="Y95" s="4">
        <f t="shared" si="123"/>
        <v>-0.00275429886666243</v>
      </c>
      <c r="Z95" t="str">
        <f t="shared" si="109"/>
        <v>0,999999971694951+0,00472140418215003i</v>
      </c>
      <c r="AA95" s="4">
        <f t="shared" si="124"/>
        <v>1.00001111746188</v>
      </c>
      <c r="AB95" s="4">
        <f t="shared" si="125"/>
        <v>0.00472136923361428</v>
      </c>
      <c r="AC95" s="67" t="str">
        <f t="shared" si="126"/>
        <v>77,159406818588-38,2674219673246i</v>
      </c>
      <c r="AD95" s="68">
        <f t="shared" si="127"/>
        <v>38.7028505180193</v>
      </c>
      <c r="AE95" s="31">
        <f t="shared" si="128"/>
        <v>-26.3792399132244</v>
      </c>
      <c r="AF95" s="32" t="str">
        <f t="shared" si="129"/>
        <v>236,914774604583</v>
      </c>
      <c r="AG95" s="32" t="str">
        <f t="shared" si="110"/>
        <v>1+0,121959316833588i</v>
      </c>
      <c r="AH95" s="32">
        <f t="shared" si="130"/>
        <v>1.00740958649524</v>
      </c>
      <c r="AI95" s="32">
        <f t="shared" si="131"/>
        <v>0.121359979224935</v>
      </c>
      <c r="AJ95" s="32" t="str">
        <f t="shared" si="111"/>
        <v>1+0,00580130804397606i</v>
      </c>
      <c r="AK95" s="32">
        <f t="shared" si="132"/>
        <v>1.00001682744593</v>
      </c>
      <c r="AL95" s="32">
        <f t="shared" si="133"/>
        <v>0.00580124296394437</v>
      </c>
      <c r="AM95" s="32" t="str">
        <f t="shared" si="112"/>
        <v>1-0,000275767838961455i</v>
      </c>
      <c r="AN95" s="32">
        <f t="shared" si="134"/>
        <v>1.00000003802395</v>
      </c>
      <c r="AO95" s="32">
        <f t="shared" si="135"/>
        <v>-0.000275767831970934</v>
      </c>
      <c r="AP95" s="30" t="str">
        <f t="shared" si="136"/>
        <v>233,600221183148-27,1806412754322i</v>
      </c>
      <c r="AQ95" s="32">
        <f t="shared" si="137"/>
        <v>47.4278678101449</v>
      </c>
      <c r="AR95" s="31">
        <f t="shared" si="138"/>
        <v>-6.63682820651758</v>
      </c>
      <c r="AS95" t="str">
        <f t="shared" si="113"/>
        <v>-0,000272527472527473</v>
      </c>
      <c r="AT95" t="str">
        <f t="shared" si="114"/>
        <v>0,0000831348161659069i</v>
      </c>
      <c r="AU95">
        <f t="shared" si="139"/>
        <v>8.31348161659069e-5</v>
      </c>
      <c r="AV95">
        <f t="shared" si="140"/>
        <v>1.5707963267949</v>
      </c>
      <c r="AW95" t="str">
        <f t="shared" si="115"/>
        <v>1+0,00425635010333452i</v>
      </c>
      <c r="AX95">
        <f t="shared" si="141"/>
        <v>1.00000905821708</v>
      </c>
      <c r="AY95">
        <f t="shared" si="142"/>
        <v>0.00425632440020204</v>
      </c>
      <c r="AZ95" t="str">
        <f t="shared" si="116"/>
        <v>1+0,203489759195589i</v>
      </c>
      <c r="BA95">
        <f t="shared" si="143"/>
        <v>1.02049403824691</v>
      </c>
      <c r="BB95">
        <f t="shared" si="144"/>
        <v>0.200748834552949</v>
      </c>
      <c r="BC95" s="30" t="str">
        <f t="shared" si="145"/>
        <v>-0,653102951085927+3,28091870726369i</v>
      </c>
      <c r="BD95" s="32">
        <f t="shared" si="146"/>
        <v>10.4886777142337</v>
      </c>
      <c r="BE95" s="31">
        <f t="shared" si="147"/>
        <v>101.258191537684</v>
      </c>
      <c r="BF95" s="30" t="str">
        <f t="shared" si="148"/>
        <v>75,1592643140894+278,146307489785i</v>
      </c>
      <c r="BG95" s="68">
        <f t="shared" si="149"/>
        <v>49.191528232253</v>
      </c>
      <c r="BH95" s="31">
        <f t="shared" si="150"/>
        <v>74.8789516244595</v>
      </c>
      <c r="BI95" s="30" t="str">
        <f t="shared" si="103"/>
        <v>-63,3875193930501+784,175092730119i</v>
      </c>
      <c r="BJ95" s="68">
        <f t="shared" si="151"/>
        <v>57.9165455243786</v>
      </c>
      <c r="BK95" s="31">
        <f t="shared" si="104"/>
        <v>94.6213633311663</v>
      </c>
      <c r="BL95" s="32">
        <f t="shared" si="152"/>
        <v>49.191528232253</v>
      </c>
      <c r="BM95" s="31">
        <f t="shared" si="153"/>
        <v>74.8789516244595</v>
      </c>
      <c r="BO95">
        <f t="shared" si="154"/>
        <v>0</v>
      </c>
      <c r="BP95">
        <f t="shared" si="155"/>
        <v>0</v>
      </c>
    </row>
    <row r="96" spans="14:68">
      <c r="N96" s="7">
        <v>78</v>
      </c>
      <c r="O96" s="18">
        <f t="shared" si="117"/>
        <v>60.2559586074358</v>
      </c>
      <c r="P96" s="86" t="str">
        <f t="shared" si="105"/>
        <v>96,0576923076923</v>
      </c>
      <c r="Q96" s="4" t="str">
        <f t="shared" si="106"/>
        <v>1+0,50537189125824i</v>
      </c>
      <c r="R96" s="4">
        <f t="shared" si="118"/>
        <v>1.12044667364133</v>
      </c>
      <c r="S96" s="4">
        <f t="shared" si="119"/>
        <v>0.467935881211843</v>
      </c>
      <c r="T96" s="4" t="str">
        <f t="shared" si="107"/>
        <v>1+0,00593643786746267i</v>
      </c>
      <c r="U96" s="4">
        <f t="shared" si="120"/>
        <v>1.00001762049204</v>
      </c>
      <c r="V96" s="4">
        <f t="shared" si="121"/>
        <v>0.00593636813301869</v>
      </c>
      <c r="W96" t="str">
        <f t="shared" si="108"/>
        <v>1-0,00281846185600907i</v>
      </c>
      <c r="X96" s="4">
        <f t="shared" si="122"/>
        <v>1.00000397185573</v>
      </c>
      <c r="Y96" s="4">
        <f t="shared" si="123"/>
        <v>-0.00281845439301391</v>
      </c>
      <c r="Z96" t="str">
        <f t="shared" si="109"/>
        <v>0,999999970360975+0,00483137981331916i</v>
      </c>
      <c r="AA96" s="4">
        <f t="shared" si="124"/>
        <v>1.00001164140866</v>
      </c>
      <c r="AB96" s="4">
        <f t="shared" si="125"/>
        <v>0.00483134236531196</v>
      </c>
      <c r="AC96" s="67" t="str">
        <f t="shared" si="126"/>
        <v>76,4499530068498-38,8002468946191i</v>
      </c>
      <c r="AD96" s="68">
        <f t="shared" si="127"/>
        <v>38.6629055780493</v>
      </c>
      <c r="AE96" s="31">
        <f t="shared" si="128"/>
        <v>-26.9089233049007</v>
      </c>
      <c r="AF96" s="32" t="str">
        <f t="shared" si="129"/>
        <v>236,914774604583</v>
      </c>
      <c r="AG96" s="32" t="str">
        <f t="shared" si="110"/>
        <v>1+0,124800114259158i</v>
      </c>
      <c r="AH96" s="32">
        <f t="shared" si="130"/>
        <v>1.00775744528091</v>
      </c>
      <c r="AI96" s="32">
        <f t="shared" si="131"/>
        <v>0.124158179131785</v>
      </c>
      <c r="AJ96" s="32" t="str">
        <f t="shared" si="111"/>
        <v>1+0,00593643786746267i</v>
      </c>
      <c r="AK96" s="32">
        <f t="shared" si="132"/>
        <v>1.00001762049204</v>
      </c>
      <c r="AL96" s="32">
        <f t="shared" si="133"/>
        <v>0.00593636813301869</v>
      </c>
      <c r="AM96" s="32" t="str">
        <f t="shared" si="112"/>
        <v>1-0,000282191297105664i</v>
      </c>
      <c r="AN96" s="32">
        <f t="shared" si="134"/>
        <v>1.00000003981596</v>
      </c>
      <c r="AO96" s="32">
        <f t="shared" si="135"/>
        <v>-0.000282191289615185</v>
      </c>
      <c r="AP96" s="30" t="str">
        <f t="shared" si="136"/>
        <v>233,446406763092-27,7945636856488i</v>
      </c>
      <c r="AQ96" s="32">
        <f t="shared" si="137"/>
        <v>47.424875991708</v>
      </c>
      <c r="AR96" s="31">
        <f t="shared" si="138"/>
        <v>-6.78977918653289</v>
      </c>
      <c r="AS96" t="str">
        <f t="shared" si="113"/>
        <v>-0,000272527472527473</v>
      </c>
      <c r="AT96" t="str">
        <f t="shared" si="114"/>
        <v>0,0000850712747971213i</v>
      </c>
      <c r="AU96">
        <f t="shared" si="139"/>
        <v>8.50712747971213e-5</v>
      </c>
      <c r="AV96">
        <f t="shared" si="140"/>
        <v>1.5707963267949</v>
      </c>
      <c r="AW96" t="str">
        <f t="shared" si="115"/>
        <v>1+0,00435549323343568i</v>
      </c>
      <c r="AX96">
        <f t="shared" si="141"/>
        <v>1.00000948511567</v>
      </c>
      <c r="AY96">
        <f t="shared" si="142"/>
        <v>0.00435546569204713</v>
      </c>
      <c r="AZ96" t="str">
        <f t="shared" si="116"/>
        <v>1+0,208229644585744i</v>
      </c>
      <c r="BA96">
        <f t="shared" si="143"/>
        <v>1.02144974662697</v>
      </c>
      <c r="BB96">
        <f t="shared" si="144"/>
        <v>0.205296011560922</v>
      </c>
      <c r="BC96" s="30" t="str">
        <f t="shared" si="145"/>
        <v>-0,653102393473869+3,2063639046761i</v>
      </c>
      <c r="BD96" s="32">
        <f t="shared" si="146"/>
        <v>10.2968046690112</v>
      </c>
      <c r="BE96" s="31">
        <f t="shared" si="147"/>
        <v>101.513045211341</v>
      </c>
      <c r="BF96" s="30" t="str">
        <f t="shared" si="148"/>
        <v>74,4780638456892+270,4669039496i</v>
      </c>
      <c r="BG96" s="68">
        <f t="shared" si="149"/>
        <v>48.9597102470605</v>
      </c>
      <c r="BH96" s="31">
        <f t="shared" si="150"/>
        <v>74.6041219064408</v>
      </c>
      <c r="BI96" s="30" t="str">
        <f t="shared" si="103"/>
        <v>-63,3449212569644+766,666828390172i</v>
      </c>
      <c r="BJ96" s="68">
        <f t="shared" si="151"/>
        <v>57.7216806607191</v>
      </c>
      <c r="BK96" s="31">
        <f t="shared" si="104"/>
        <v>94.7232660248086</v>
      </c>
      <c r="BL96" s="32">
        <f t="shared" si="152"/>
        <v>48.9597102470605</v>
      </c>
      <c r="BM96" s="31">
        <f t="shared" si="153"/>
        <v>74.6041219064408</v>
      </c>
      <c r="BO96">
        <f t="shared" si="154"/>
        <v>0</v>
      </c>
      <c r="BP96">
        <f t="shared" si="155"/>
        <v>0</v>
      </c>
    </row>
    <row r="97" spans="14:68">
      <c r="N97" s="7">
        <v>79</v>
      </c>
      <c r="O97" s="18">
        <f t="shared" si="117"/>
        <v>61.6595001861483</v>
      </c>
      <c r="P97" s="86" t="str">
        <f t="shared" si="105"/>
        <v>96,0576923076923</v>
      </c>
      <c r="Q97" s="4" t="str">
        <f t="shared" si="106"/>
        <v>1+0,517143514820229i</v>
      </c>
      <c r="R97" s="4">
        <f t="shared" si="118"/>
        <v>1.1258052295671</v>
      </c>
      <c r="S97" s="4">
        <f t="shared" si="119"/>
        <v>0.477268171001258</v>
      </c>
      <c r="T97" s="4" t="str">
        <f t="shared" si="107"/>
        <v>1+0,00607471526888466i</v>
      </c>
      <c r="U97" s="4">
        <f t="shared" si="120"/>
        <v>1.00001845091258</v>
      </c>
      <c r="V97" s="4">
        <f t="shared" si="121"/>
        <v>0.00607464054715615</v>
      </c>
      <c r="W97" t="str">
        <f t="shared" si="108"/>
        <v>1-0,00288411226626469i</v>
      </c>
      <c r="X97" s="4">
        <f t="shared" si="122"/>
        <v>1.00000415904313</v>
      </c>
      <c r="Y97" s="4">
        <f t="shared" si="123"/>
        <v>-0.00288410426952309</v>
      </c>
      <c r="Z97" t="str">
        <f t="shared" si="109"/>
        <v>0,999999968964131+0,0049439171060162i</v>
      </c>
      <c r="AA97" s="4">
        <f t="shared" si="124"/>
        <v>1.00001219004801</v>
      </c>
      <c r="AB97" s="4">
        <f t="shared" si="125"/>
        <v>0.00494387697977996</v>
      </c>
      <c r="AC97" s="67" t="str">
        <f t="shared" si="126"/>
        <v>75,7208563491578-39,3269733279156i</v>
      </c>
      <c r="AD97" s="68">
        <f t="shared" si="127"/>
        <v>38.6214682497124</v>
      </c>
      <c r="AE97" s="31">
        <f t="shared" si="128"/>
        <v>-27.4459109165817</v>
      </c>
      <c r="AF97" s="32" t="str">
        <f t="shared" si="129"/>
        <v>236,914774604583</v>
      </c>
      <c r="AG97" s="32" t="str">
        <f t="shared" si="110"/>
        <v>1+0,127707082357234i</v>
      </c>
      <c r="AH97" s="32">
        <f t="shared" si="130"/>
        <v>1.00812156949656</v>
      </c>
      <c r="AI97" s="32">
        <f t="shared" si="131"/>
        <v>0.127019535405077</v>
      </c>
      <c r="AJ97" s="32" t="str">
        <f t="shared" si="111"/>
        <v>1+0,00607471526888466i</v>
      </c>
      <c r="AK97" s="32">
        <f t="shared" si="132"/>
        <v>1.00001845091258</v>
      </c>
      <c r="AL97" s="32">
        <f t="shared" si="133"/>
        <v>0.00607464054715615</v>
      </c>
      <c r="AM97" s="32" t="str">
        <f t="shared" si="112"/>
        <v>1-0,000288764376810843i</v>
      </c>
      <c r="AN97" s="32">
        <f t="shared" si="134"/>
        <v>1.00000004169243</v>
      </c>
      <c r="AO97" s="32">
        <f t="shared" si="135"/>
        <v>-0.00028876436878465</v>
      </c>
      <c r="AP97" s="30" t="str">
        <f t="shared" si="136"/>
        <v>233,285570713649-28,4214423404135i</v>
      </c>
      <c r="AQ97" s="32">
        <f t="shared" si="137"/>
        <v>47.4217453908559</v>
      </c>
      <c r="AR97" s="31">
        <f t="shared" si="138"/>
        <v>-6.94617700861746</v>
      </c>
      <c r="AS97" t="str">
        <f t="shared" si="113"/>
        <v>-0,000272527472527473</v>
      </c>
      <c r="AT97" t="str">
        <f t="shared" si="114"/>
        <v>0,0000870528393442846i</v>
      </c>
      <c r="AU97">
        <f t="shared" si="139"/>
        <v>8.70528393442846e-5</v>
      </c>
      <c r="AV97">
        <f t="shared" si="140"/>
        <v>1.5707963267949</v>
      </c>
      <c r="AW97" t="str">
        <f t="shared" si="115"/>
        <v>1+0,00445694570370098i</v>
      </c>
      <c r="AX97">
        <f t="shared" si="141"/>
        <v>1.00000993213318</v>
      </c>
      <c r="AY97">
        <f t="shared" si="142"/>
        <v>0.00445691619258729</v>
      </c>
      <c r="AZ97" t="str">
        <f t="shared" si="116"/>
        <v>1+0,213079936089704i</v>
      </c>
      <c r="BA97">
        <f t="shared" si="143"/>
        <v>1.02244953868834</v>
      </c>
      <c r="BB97">
        <f t="shared" si="144"/>
        <v>0.209940207276109</v>
      </c>
      <c r="BC97" s="30" t="str">
        <f t="shared" si="145"/>
        <v>-0,653101809583389+3,13350915844306i</v>
      </c>
      <c r="BD97" s="32">
        <f t="shared" si="146"/>
        <v>10.1052983519729</v>
      </c>
      <c r="BE97" s="31">
        <f t="shared" si="147"/>
        <v>101.773325339544</v>
      </c>
      <c r="BF97" s="30" t="str">
        <f t="shared" si="148"/>
        <v>73,7780027920307+262,956514301137i</v>
      </c>
      <c r="BG97" s="68">
        <f t="shared" si="149"/>
        <v>48.7267666016854</v>
      </c>
      <c r="BH97" s="31">
        <f t="shared" si="150"/>
        <v>74.3274144229622</v>
      </c>
      <c r="BI97" s="30" t="str">
        <f t="shared" si="103"/>
        <v>-63,3003785129308+749,564567787329i</v>
      </c>
      <c r="BJ97" s="68">
        <f t="shared" si="151"/>
        <v>57.5270437428289</v>
      </c>
      <c r="BK97" s="31">
        <f t="shared" si="104"/>
        <v>94.8271483309265</v>
      </c>
      <c r="BL97" s="32">
        <f t="shared" si="152"/>
        <v>48.7267666016854</v>
      </c>
      <c r="BM97" s="31">
        <f t="shared" si="153"/>
        <v>74.3274144229622</v>
      </c>
      <c r="BO97">
        <f t="shared" si="154"/>
        <v>0</v>
      </c>
      <c r="BP97">
        <f t="shared" si="155"/>
        <v>0</v>
      </c>
    </row>
    <row r="98" spans="14:68">
      <c r="N98" s="7">
        <v>80</v>
      </c>
      <c r="O98" s="18">
        <f t="shared" si="117"/>
        <v>63.0957344480194</v>
      </c>
      <c r="P98" s="86" t="str">
        <f t="shared" si="105"/>
        <v>96,0576923076923</v>
      </c>
      <c r="Q98" s="4" t="str">
        <f t="shared" si="106"/>
        <v>1+0,529189334718978i</v>
      </c>
      <c r="R98" s="4">
        <f t="shared" si="118"/>
        <v>1.13138912491694</v>
      </c>
      <c r="S98" s="4">
        <f t="shared" si="119"/>
        <v>0.486725479977069</v>
      </c>
      <c r="T98" s="4" t="str">
        <f t="shared" si="107"/>
        <v>1+0,00621621356475056i</v>
      </c>
      <c r="U98" s="4">
        <f t="shared" si="120"/>
        <v>1.0000193204689</v>
      </c>
      <c r="V98" s="4">
        <f t="shared" si="121"/>
        <v>0.00621613349905949</v>
      </c>
      <c r="W98" t="str">
        <f t="shared" si="108"/>
        <v>1-0,00295129187101962i</v>
      </c>
      <c r="X98" s="4">
        <f t="shared" si="122"/>
        <v>1.00000435505237</v>
      </c>
      <c r="Y98" s="4">
        <f t="shared" si="123"/>
        <v>-0.00295128330235864</v>
      </c>
      <c r="Z98" t="str">
        <f t="shared" si="109"/>
        <v>0,999999967501455+0,00505907572900332i</v>
      </c>
      <c r="AA98" s="4">
        <f t="shared" si="124"/>
        <v>1.0000127645436</v>
      </c>
      <c r="AB98" s="4">
        <f t="shared" si="125"/>
        <v>0.00505903273299619</v>
      </c>
      <c r="AC98" s="67" t="str">
        <f t="shared" si="126"/>
        <v>74,9720948673434-39,8467798273294i</v>
      </c>
      <c r="AD98" s="68">
        <f t="shared" si="127"/>
        <v>38.5784977506894</v>
      </c>
      <c r="AE98" s="31">
        <f t="shared" si="128"/>
        <v>-27.9901148711711</v>
      </c>
      <c r="AF98" s="32" t="str">
        <f t="shared" si="129"/>
        <v>236,914774604583</v>
      </c>
      <c r="AG98" s="32" t="str">
        <f t="shared" si="110"/>
        <v>1+0,130681762440779i</v>
      </c>
      <c r="AH98" s="32">
        <f t="shared" si="130"/>
        <v>1.00850271344931</v>
      </c>
      <c r="AI98" s="32">
        <f t="shared" si="131"/>
        <v>0.129945377658163</v>
      </c>
      <c r="AJ98" s="32" t="str">
        <f t="shared" si="111"/>
        <v>1+0,00621621356475056i</v>
      </c>
      <c r="AK98" s="32">
        <f t="shared" si="132"/>
        <v>1.0000193204689</v>
      </c>
      <c r="AL98" s="32">
        <f t="shared" si="133"/>
        <v>0.00621613349905949</v>
      </c>
      <c r="AM98" s="32" t="str">
        <f t="shared" si="112"/>
        <v>1-0,000295490563210854i</v>
      </c>
      <c r="AN98" s="32">
        <f t="shared" si="134"/>
        <v>1.00000004365734</v>
      </c>
      <c r="AO98" s="32">
        <f t="shared" si="135"/>
        <v>-0.000295490554610634</v>
      </c>
      <c r="AP98" s="30" t="str">
        <f t="shared" si="136"/>
        <v>233,117403516505-29,0614863917492i</v>
      </c>
      <c r="AQ98" s="32">
        <f t="shared" si="137"/>
        <v>47.4184696774159</v>
      </c>
      <c r="AR98" s="31">
        <f t="shared" si="138"/>
        <v>-7.10609385432551</v>
      </c>
      <c r="AS98" t="str">
        <f t="shared" si="113"/>
        <v>-0,000272527472527473</v>
      </c>
      <c r="AT98" t="str">
        <f t="shared" si="114"/>
        <v>0,0000890805604591487i</v>
      </c>
      <c r="AU98">
        <f t="shared" si="139"/>
        <v>8.90805604591487e-5</v>
      </c>
      <c r="AV98">
        <f t="shared" si="140"/>
        <v>1.5707963267949</v>
      </c>
      <c r="AW98" t="str">
        <f t="shared" si="115"/>
        <v>1+0,00456076130557302i</v>
      </c>
      <c r="AX98">
        <f t="shared" si="141"/>
        <v>1.00001040021776</v>
      </c>
      <c r="AY98">
        <f t="shared" si="142"/>
        <v>0.00456072968386274</v>
      </c>
      <c r="AZ98" t="str">
        <f t="shared" si="116"/>
        <v>1+0,218043205396225i</v>
      </c>
      <c r="BA98">
        <f t="shared" si="143"/>
        <v>1.02349540273489</v>
      </c>
      <c r="BB98">
        <f t="shared" si="144"/>
        <v>0.214683082389979</v>
      </c>
      <c r="BC98" s="30" t="str">
        <f t="shared" si="145"/>
        <v>-0,653101198176117+3,06231583999734i</v>
      </c>
      <c r="BD98" s="32">
        <f t="shared" si="146"/>
        <v>9.9141745452698</v>
      </c>
      <c r="BE98" s="31">
        <f t="shared" si="147"/>
        <v>102.03912399142</v>
      </c>
      <c r="BF98" s="30" t="str">
        <f t="shared" si="148"/>
        <v>73,0590600504818+255,612213318738i</v>
      </c>
      <c r="BG98" s="68">
        <f t="shared" si="149"/>
        <v>48.4926722959592</v>
      </c>
      <c r="BH98" s="31">
        <f t="shared" si="150"/>
        <v>74.0490091202488</v>
      </c>
      <c r="BI98" s="30" t="str">
        <f t="shared" si="103"/>
        <v>-63,2538054410141+732,859208950875i</v>
      </c>
      <c r="BJ98" s="68">
        <f t="shared" si="151"/>
        <v>57.3326442226857</v>
      </c>
      <c r="BK98" s="31">
        <f t="shared" si="104"/>
        <v>94.9330301370943</v>
      </c>
      <c r="BL98" s="32">
        <f t="shared" si="152"/>
        <v>48.4926722959592</v>
      </c>
      <c r="BM98" s="31">
        <f t="shared" si="153"/>
        <v>74.0490091202488</v>
      </c>
      <c r="BO98">
        <f t="shared" si="154"/>
        <v>0</v>
      </c>
      <c r="BP98">
        <f t="shared" si="155"/>
        <v>0</v>
      </c>
    </row>
    <row r="99" spans="14:68">
      <c r="N99" s="7">
        <v>81</v>
      </c>
      <c r="O99" s="18">
        <f t="shared" si="117"/>
        <v>64.5654229034656</v>
      </c>
      <c r="P99" s="86" t="str">
        <f t="shared" si="105"/>
        <v>96,0576923076923</v>
      </c>
      <c r="Q99" s="4" t="str">
        <f t="shared" si="106"/>
        <v>1+0,541515737807644i</v>
      </c>
      <c r="R99" s="4">
        <f t="shared" si="118"/>
        <v>1.13720679486774</v>
      </c>
      <c r="S99" s="4">
        <f t="shared" si="119"/>
        <v>0.496306054723378</v>
      </c>
      <c r="T99" s="4" t="str">
        <f t="shared" si="107"/>
        <v>1+0,00636100777932982i</v>
      </c>
      <c r="U99" s="4">
        <f t="shared" si="120"/>
        <v>1.00002023100534</v>
      </c>
      <c r="V99" s="4">
        <f t="shared" si="121"/>
        <v>0.00636092198748989</v>
      </c>
      <c r="W99" t="str">
        <f t="shared" si="108"/>
        <v>1-0,00302003628978953i</v>
      </c>
      <c r="X99" s="4">
        <f t="shared" si="122"/>
        <v>1.0000045602992</v>
      </c>
      <c r="Y99" s="4">
        <f t="shared" si="123"/>
        <v>-0.00302002710830613</v>
      </c>
      <c r="Z99" t="str">
        <f t="shared" si="109"/>
        <v>0,999999965969846+0,00517691674090674i</v>
      </c>
      <c r="AA99" s="4">
        <f t="shared" si="124"/>
        <v>1.00001336611399</v>
      </c>
      <c r="AB99" s="4">
        <f t="shared" si="125"/>
        <v>0.0051768706698883</v>
      </c>
      <c r="AC99" s="67" t="str">
        <f t="shared" si="126"/>
        <v>74,2036881882004-40,3588264707208i</v>
      </c>
      <c r="AD99" s="68">
        <f t="shared" si="127"/>
        <v>38.5339532962461</v>
      </c>
      <c r="AE99" s="31">
        <f t="shared" si="128"/>
        <v>-28.541435946534</v>
      </c>
      <c r="AF99" s="32" t="str">
        <f t="shared" si="129"/>
        <v>236,914774604583</v>
      </c>
      <c r="AG99" s="32" t="str">
        <f t="shared" si="110"/>
        <v>1+0,133725731724547i</v>
      </c>
      <c r="AH99" s="32">
        <f t="shared" si="130"/>
        <v>1.00890166583531</v>
      </c>
      <c r="AI99" s="32">
        <f t="shared" si="131"/>
        <v>0.132937056730185</v>
      </c>
      <c r="AJ99" s="32" t="str">
        <f t="shared" si="111"/>
        <v>1+0,00636100777932982i</v>
      </c>
      <c r="AK99" s="32">
        <f t="shared" si="132"/>
        <v>1.00002023100534</v>
      </c>
      <c r="AL99" s="32">
        <f t="shared" si="133"/>
        <v>0.00636092198748989</v>
      </c>
      <c r="AM99" s="32" t="str">
        <f t="shared" si="112"/>
        <v>1-0,00030237342261876i</v>
      </c>
      <c r="AN99" s="32">
        <f t="shared" si="134"/>
        <v>1.00000004571484</v>
      </c>
      <c r="AO99" s="32">
        <f t="shared" si="135"/>
        <v>-0.000302373413403458</v>
      </c>
      <c r="AP99" s="30" t="str">
        <f t="shared" si="136"/>
        <v>232,941583052699-29,7149036497647i</v>
      </c>
      <c r="AQ99" s="32">
        <f t="shared" si="137"/>
        <v>47.4150422426743</v>
      </c>
      <c r="AR99" s="31">
        <f t="shared" si="138"/>
        <v>-7.26960302826061</v>
      </c>
      <c r="AS99" t="str">
        <f t="shared" si="113"/>
        <v>-0,000272527472527473</v>
      </c>
      <c r="AT99" t="str">
        <f t="shared" si="114"/>
        <v>0,0000911555132662889i</v>
      </c>
      <c r="AU99">
        <f t="shared" si="139"/>
        <v>9.11555132662889e-5</v>
      </c>
      <c r="AV99">
        <f t="shared" si="140"/>
        <v>1.5707963267949</v>
      </c>
      <c r="AW99" t="str">
        <f t="shared" si="115"/>
        <v>1+0,00466699508345809i</v>
      </c>
      <c r="AX99">
        <f t="shared" si="141"/>
        <v>1.00001089036225</v>
      </c>
      <c r="AY99">
        <f t="shared" si="142"/>
        <v>0.00466696120020499</v>
      </c>
      <c r="AZ99" t="str">
        <f t="shared" si="116"/>
        <v>1+0,22312208409639i</v>
      </c>
      <c r="BA99">
        <f t="shared" si="143"/>
        <v>1.02458941259976</v>
      </c>
      <c r="BB99">
        <f t="shared" si="144"/>
        <v>0.219526297720768</v>
      </c>
      <c r="BC99" s="30" t="str">
        <f t="shared" si="145"/>
        <v>-0,653100557955334+2,99274620168166i</v>
      </c>
      <c r="BD99" s="32">
        <f t="shared" si="146"/>
        <v>9.72344963986605</v>
      </c>
      <c r="BE99" s="31">
        <f t="shared" si="147"/>
        <v>102.310533171609</v>
      </c>
      <c r="BF99" s="30" t="str">
        <f t="shared" si="148"/>
        <v>72,3212544665216+248,431178062457i</v>
      </c>
      <c r="BG99" s="68">
        <f t="shared" si="149"/>
        <v>48.2574029361121</v>
      </c>
      <c r="BH99" s="31">
        <f t="shared" si="150"/>
        <v>73.7690972250753</v>
      </c>
      <c r="BI99" s="30" t="str">
        <f t="shared" si="103"/>
        <v>-63,2051128315467+716,541858047928i</v>
      </c>
      <c r="BJ99" s="68">
        <f t="shared" si="151"/>
        <v>57.1384918825404</v>
      </c>
      <c r="BK99" s="31">
        <f t="shared" si="104"/>
        <v>95.0409301433488</v>
      </c>
      <c r="BL99" s="32">
        <f t="shared" si="152"/>
        <v>48.2574029361121</v>
      </c>
      <c r="BM99" s="31">
        <f t="shared" si="153"/>
        <v>73.7690972250753</v>
      </c>
      <c r="BO99">
        <f t="shared" si="154"/>
        <v>0</v>
      </c>
      <c r="BP99">
        <f t="shared" si="155"/>
        <v>0</v>
      </c>
    </row>
    <row r="100" spans="14:68">
      <c r="N100" s="7">
        <v>82</v>
      </c>
      <c r="O100" s="18">
        <f t="shared" si="117"/>
        <v>66.0693448007596</v>
      </c>
      <c r="P100" s="86" t="str">
        <f t="shared" si="105"/>
        <v>96,0576923076923</v>
      </c>
      <c r="Q100" s="4" t="str">
        <f t="shared" si="106"/>
        <v>1+0,554129259708305i</v>
      </c>
      <c r="R100" s="4">
        <f t="shared" si="118"/>
        <v>1.14326691392031</v>
      </c>
      <c r="S100" s="4">
        <f t="shared" si="119"/>
        <v>0.506007939166719</v>
      </c>
      <c r="T100" s="4" t="str">
        <f t="shared" si="107"/>
        <v>1+0,00650917468443157i</v>
      </c>
      <c r="U100" s="4">
        <f t="shared" si="120"/>
        <v>1.00002118445315</v>
      </c>
      <c r="V100" s="4">
        <f t="shared" si="121"/>
        <v>0.00650908275692403</v>
      </c>
      <c r="W100" t="str">
        <f t="shared" si="108"/>
        <v>1-0,00309038197177519i</v>
      </c>
      <c r="X100" s="4">
        <f t="shared" si="122"/>
        <v>1.00000477521896</v>
      </c>
      <c r="Y100" s="4">
        <f t="shared" si="123"/>
        <v>-0.00309037213364101</v>
      </c>
      <c r="Z100" t="str">
        <f t="shared" si="109"/>
        <v>0,999999964366055+0,0052975026225908i</v>
      </c>
      <c r="AA100" s="4">
        <f t="shared" si="124"/>
        <v>1.00001399603513</v>
      </c>
      <c r="AB100" s="4">
        <f t="shared" si="125"/>
        <v>0.00529745325664245</v>
      </c>
      <c r="AC100" s="67" t="str">
        <f t="shared" si="126"/>
        <v>73,4156997135061-40,8622570678842i</v>
      </c>
      <c r="AD100" s="68">
        <f t="shared" si="127"/>
        <v>38.4877941878572</v>
      </c>
      <c r="AE100" s="31">
        <f t="shared" si="128"/>
        <v>-29.0997633380483</v>
      </c>
      <c r="AF100" s="32" t="str">
        <f t="shared" si="129"/>
        <v>236,914774604583</v>
      </c>
      <c r="AG100" s="32" t="str">
        <f t="shared" si="110"/>
        <v>1+0,136840604161345i</v>
      </c>
      <c r="AH100" s="32">
        <f t="shared" si="130"/>
        <v>1.00931925125167</v>
      </c>
      <c r="AI100" s="32">
        <f t="shared" si="131"/>
        <v>0.135995944527857</v>
      </c>
      <c r="AJ100" s="32" t="str">
        <f t="shared" si="111"/>
        <v>1+0,00650917468443157i</v>
      </c>
      <c r="AK100" s="32">
        <f t="shared" si="132"/>
        <v>1.00002118445315</v>
      </c>
      <c r="AL100" s="32">
        <f t="shared" si="133"/>
        <v>0.00650908275692403</v>
      </c>
      <c r="AM100" s="32" t="str">
        <f t="shared" si="112"/>
        <v>1-0,000309416604417724i</v>
      </c>
      <c r="AN100" s="32">
        <f t="shared" si="134"/>
        <v>1.00000004786932</v>
      </c>
      <c r="AO100" s="32">
        <f t="shared" si="135"/>
        <v>-0.00030941659454335</v>
      </c>
      <c r="AP100" s="30" t="str">
        <f t="shared" si="136"/>
        <v>232,757774189207-30,3819001551715i</v>
      </c>
      <c r="AQ100" s="32">
        <f t="shared" si="137"/>
        <v>47.4114561880853</v>
      </c>
      <c r="AR100" s="31">
        <f t="shared" si="138"/>
        <v>-7.43677894684696</v>
      </c>
      <c r="AS100" t="str">
        <f t="shared" si="113"/>
        <v>-0,000272527472527473</v>
      </c>
      <c r="AT100" t="str">
        <f t="shared" si="114"/>
        <v>0,0000932787979331487i</v>
      </c>
      <c r="AU100">
        <f t="shared" si="139"/>
        <v>9.32787979331487e-5</v>
      </c>
      <c r="AV100">
        <f t="shared" si="140"/>
        <v>1.5707963267949</v>
      </c>
      <c r="AW100" t="str">
        <f t="shared" si="115"/>
        <v>1+0,0047757033639114i</v>
      </c>
      <c r="AX100">
        <f t="shared" si="141"/>
        <v>1.00001140360629</v>
      </c>
      <c r="AY100">
        <f t="shared" si="142"/>
        <v>0.00477566705737394</v>
      </c>
      <c r="AZ100" t="str">
        <f t="shared" si="116"/>
        <v>1+0,228319265078913i</v>
      </c>
      <c r="BA100">
        <f t="shared" si="143"/>
        <v>1.02573373094881</v>
      </c>
      <c r="BB100">
        <f t="shared" si="144"/>
        <v>0.224471511941757</v>
      </c>
      <c r="BC100" s="30" t="str">
        <f t="shared" si="145"/>
        <v>-0,653099887563219+2,92476335673407i</v>
      </c>
      <c r="BD100" s="32">
        <f t="shared" si="146"/>
        <v>9.53314065257697</v>
      </c>
      <c r="BE100" s="31">
        <f t="shared" si="147"/>
        <v>102.587644688436</v>
      </c>
      <c r="BF100" s="30" t="str">
        <f t="shared" si="148"/>
        <v>71,5646469173296+241,410683827669i</v>
      </c>
      <c r="BG100" s="68">
        <f t="shared" si="149"/>
        <v>48.0209348404342</v>
      </c>
      <c r="BH100" s="31">
        <f t="shared" si="150"/>
        <v>73.4878813503877</v>
      </c>
      <c r="BI100" s="30" t="str">
        <f t="shared" si="103"/>
        <v>-63,1542078706375+700,603824518875i</v>
      </c>
      <c r="BJ100" s="68">
        <f t="shared" si="151"/>
        <v>56.9445968406623</v>
      </c>
      <c r="BK100" s="31">
        <f t="shared" si="104"/>
        <v>95.150865741589</v>
      </c>
      <c r="BL100" s="32">
        <f t="shared" si="152"/>
        <v>48.0209348404342</v>
      </c>
      <c r="BM100" s="31">
        <f t="shared" si="153"/>
        <v>73.4878813503877</v>
      </c>
      <c r="BO100">
        <f t="shared" si="154"/>
        <v>0</v>
      </c>
      <c r="BP100">
        <f t="shared" si="155"/>
        <v>0</v>
      </c>
    </row>
    <row r="101" spans="14:68">
      <c r="N101" s="7">
        <v>83</v>
      </c>
      <c r="O101" s="18">
        <f t="shared" si="117"/>
        <v>67.6082975391982</v>
      </c>
      <c r="P101" s="86" t="str">
        <f t="shared" si="105"/>
        <v>96,0576923076923</v>
      </c>
      <c r="Q101" s="4" t="str">
        <f t="shared" si="106"/>
        <v>1+0,567036588277231i</v>
      </c>
      <c r="R101" s="4">
        <f t="shared" si="118"/>
        <v>1.14957839769416</v>
      </c>
      <c r="S101" s="4">
        <f t="shared" si="119"/>
        <v>0.515828970976966</v>
      </c>
      <c r="T101" s="4" t="str">
        <f t="shared" si="107"/>
        <v>1+0,00666079284011011i</v>
      </c>
      <c r="U101" s="4">
        <f t="shared" si="120"/>
        <v>1.00002218283459</v>
      </c>
      <c r="V101" s="4">
        <f t="shared" si="121"/>
        <v>0.0066606943381291</v>
      </c>
      <c r="W101" t="str">
        <f t="shared" si="108"/>
        <v>1-0,00316236621518834i</v>
      </c>
      <c r="X101" s="4">
        <f t="shared" si="122"/>
        <v>1.00000500026754</v>
      </c>
      <c r="Y101" s="4">
        <f t="shared" si="123"/>
        <v>-0.00316235567344049</v>
      </c>
      <c r="Z101" t="str">
        <f t="shared" si="109"/>
        <v>0,999999962686678+0,00542089731028608i</v>
      </c>
      <c r="AA101" s="4">
        <f t="shared" si="124"/>
        <v>1.00001465564311</v>
      </c>
      <c r="AB101" s="4">
        <f t="shared" si="125"/>
        <v>0.00542084441376127</v>
      </c>
      <c r="AC101" s="67" t="str">
        <f t="shared" si="126"/>
        <v>72,6082386783715-41,3562016063978i</v>
      </c>
      <c r="AD101" s="68">
        <f t="shared" si="127"/>
        <v>38.4399799062214</v>
      </c>
      <c r="AE101" s="31">
        <f t="shared" si="128"/>
        <v>-29.6649744530679</v>
      </c>
      <c r="AF101" s="32" t="str">
        <f t="shared" si="129"/>
        <v>236,914774604583</v>
      </c>
      <c r="AG101" s="32" t="str">
        <f t="shared" si="110"/>
        <v>1+0,140028031297769i</v>
      </c>
      <c r="AH101" s="32">
        <f t="shared" si="130"/>
        <v>1.00975633176976</v>
      </c>
      <c r="AI101" s="32">
        <f t="shared" si="131"/>
        <v>0.139123433822079</v>
      </c>
      <c r="AJ101" s="32" t="str">
        <f t="shared" si="111"/>
        <v>1+0,00666079284011011i</v>
      </c>
      <c r="AK101" s="32">
        <f t="shared" si="132"/>
        <v>1.00002218283459</v>
      </c>
      <c r="AL101" s="32">
        <f t="shared" si="133"/>
        <v>0.0066606943381291</v>
      </c>
      <c r="AM101" s="32" t="str">
        <f t="shared" si="112"/>
        <v>1-0,000316623842995964i</v>
      </c>
      <c r="AN101" s="32">
        <f t="shared" si="134"/>
        <v>1.00000005012533</v>
      </c>
      <c r="AO101" s="32">
        <f t="shared" si="135"/>
        <v>-0.000316623832415382</v>
      </c>
      <c r="AP101" s="30" t="str">
        <f t="shared" si="136"/>
        <v>232,565628361856-31,0626797190347i</v>
      </c>
      <c r="AQ101" s="32">
        <f t="shared" si="137"/>
        <v>47.4077043136131</v>
      </c>
      <c r="AR101" s="31">
        <f t="shared" si="138"/>
        <v>-7.60769712446192</v>
      </c>
      <c r="AS101" t="str">
        <f t="shared" si="113"/>
        <v>-0,000272527472527473</v>
      </c>
      <c r="AT101" t="str">
        <f t="shared" si="114"/>
        <v>0,0000954515402533636i</v>
      </c>
      <c r="AU101">
        <f t="shared" si="139"/>
        <v>9.54515402533636e-5</v>
      </c>
      <c r="AV101">
        <f t="shared" si="140"/>
        <v>1.5707963267949</v>
      </c>
      <c r="AW101" t="str">
        <f t="shared" si="115"/>
        <v>1+0,00488694378550216i</v>
      </c>
      <c r="AX101">
        <f t="shared" si="141"/>
        <v>1.00001194103849</v>
      </c>
      <c r="AY101">
        <f t="shared" si="142"/>
        <v>0.00488690488237146</v>
      </c>
      <c r="AZ101" t="str">
        <f t="shared" si="116"/>
        <v>1+0,233637503957944i</v>
      </c>
      <c r="BA101">
        <f t="shared" si="143"/>
        <v>1.02693061267824</v>
      </c>
      <c r="BB101">
        <f t="shared" si="144"/>
        <v>0.229520379146161</v>
      </c>
      <c r="BC101" s="30" t="str">
        <f t="shared" si="145"/>
        <v>-0,653099185577976+2,85833125973022i</v>
      </c>
      <c r="BD101" s="32">
        <f t="shared" si="146"/>
        <v>9.34326524297153</v>
      </c>
      <c r="BE101" s="31">
        <f t="shared" si="147"/>
        <v>102.870550012676</v>
      </c>
      <c r="BF101" s="30" t="str">
        <f t="shared" si="148"/>
        <v>70,7893422881763+234,548099916079i</v>
      </c>
      <c r="BG101" s="68">
        <f t="shared" si="149"/>
        <v>47.7832451491929</v>
      </c>
      <c r="BH101" s="31">
        <f t="shared" si="150"/>
        <v>73.2055755596078</v>
      </c>
      <c r="BI101" s="30" t="str">
        <f t="shared" si="103"/>
        <v>-63,1009940246536+685,036616311865i</v>
      </c>
      <c r="BJ101" s="68">
        <f t="shared" si="151"/>
        <v>56.7509695565846</v>
      </c>
      <c r="BK101" s="31">
        <f t="shared" si="104"/>
        <v>95.2628528882138</v>
      </c>
      <c r="BL101" s="32">
        <f t="shared" si="152"/>
        <v>47.7832451491929</v>
      </c>
      <c r="BM101" s="31">
        <f t="shared" si="153"/>
        <v>73.2055755596078</v>
      </c>
      <c r="BO101">
        <f t="shared" si="154"/>
        <v>0</v>
      </c>
      <c r="BP101">
        <f t="shared" si="155"/>
        <v>0</v>
      </c>
    </row>
    <row r="102" spans="14:68">
      <c r="N102" s="7">
        <v>84</v>
      </c>
      <c r="O102" s="18">
        <f t="shared" si="117"/>
        <v>69.1830970918937</v>
      </c>
      <c r="P102" s="86" t="str">
        <f t="shared" si="105"/>
        <v>96,0576923076923</v>
      </c>
      <c r="Q102" s="4" t="str">
        <f t="shared" si="106"/>
        <v>1+0,580244567150877i</v>
      </c>
      <c r="R102" s="4">
        <f t="shared" si="118"/>
        <v>1.15615040444923</v>
      </c>
      <c r="S102" s="4">
        <f t="shared" si="119"/>
        <v>0.52576677857998</v>
      </c>
      <c r="T102" s="4" t="str">
        <f t="shared" si="107"/>
        <v>1+0,0068159426363185i</v>
      </c>
      <c r="U102" s="4">
        <f t="shared" si="120"/>
        <v>1.00002322826723</v>
      </c>
      <c r="V102" s="4">
        <f t="shared" si="121"/>
        <v>0.00681583708967666</v>
      </c>
      <c r="W102" t="str">
        <f t="shared" si="108"/>
        <v>1-0,00323602718702763i</v>
      </c>
      <c r="X102" s="4">
        <f t="shared" si="122"/>
        <v>1.00000523592227</v>
      </c>
      <c r="Y102" s="4">
        <f t="shared" si="123"/>
        <v>-0.00323601589134449</v>
      </c>
      <c r="Z102" t="str">
        <f t="shared" si="109"/>
        <v>0,999999960928156+0,00554716622948933i</v>
      </c>
      <c r="AA102" s="4">
        <f t="shared" si="124"/>
        <v>1.00001534633699</v>
      </c>
      <c r="AB102" s="4">
        <f t="shared" si="125"/>
        <v>0.00554710954988879</v>
      </c>
      <c r="AC102" s="67" t="str">
        <f t="shared" si="126"/>
        <v>71,7814620731711-41,8397789262695i</v>
      </c>
      <c r="AD102" s="68">
        <f t="shared" si="127"/>
        <v>38.3904702084118</v>
      </c>
      <c r="AE102" s="31">
        <f t="shared" si="128"/>
        <v>-30.2369347404516</v>
      </c>
      <c r="AF102" s="32" t="str">
        <f t="shared" si="129"/>
        <v>236,914774604583</v>
      </c>
      <c r="AG102" s="32" t="str">
        <f t="shared" si="110"/>
        <v>1+0,143289703149877i</v>
      </c>
      <c r="AH102" s="32">
        <f t="shared" si="130"/>
        <v>1.01021380857162</v>
      </c>
      <c r="AI102" s="32">
        <f t="shared" si="131"/>
        <v>0.142320937995937</v>
      </c>
      <c r="AJ102" s="32" t="str">
        <f t="shared" si="111"/>
        <v>1+0,0068159426363185i</v>
      </c>
      <c r="AK102" s="32">
        <f t="shared" si="132"/>
        <v>1.00002322826723</v>
      </c>
      <c r="AL102" s="32">
        <f t="shared" si="133"/>
        <v>0.00681583708967666</v>
      </c>
      <c r="AM102" s="32" t="str">
        <f t="shared" si="112"/>
        <v>1-0,000323998959726771i</v>
      </c>
      <c r="AN102" s="32">
        <f t="shared" si="134"/>
        <v>1.00000005248766</v>
      </c>
      <c r="AO102" s="32">
        <f t="shared" si="135"/>
        <v>-0.000323998948389473</v>
      </c>
      <c r="AP102" s="30" t="str">
        <f t="shared" si="136"/>
        <v>232,364783155704-31,7574434279809i</v>
      </c>
      <c r="AQ102" s="32">
        <f t="shared" si="137"/>
        <v>47.4037791057064</v>
      </c>
      <c r="AR102" s="31">
        <f t="shared" si="138"/>
        <v>-7.78243415673244</v>
      </c>
      <c r="AS102" t="str">
        <f t="shared" si="113"/>
        <v>-0,000272527472527473</v>
      </c>
      <c r="AT102" t="str">
        <f t="shared" si="114"/>
        <v>0,0000976748922436713i</v>
      </c>
      <c r="AU102">
        <f t="shared" si="139"/>
        <v>9.76748922436713e-5</v>
      </c>
      <c r="AV102">
        <f t="shared" si="140"/>
        <v>1.5707963267949</v>
      </c>
      <c r="AW102" t="str">
        <f t="shared" si="115"/>
        <v>1+0,00500077532937434i</v>
      </c>
      <c r="AX102">
        <f t="shared" si="141"/>
        <v>1.00001250379877</v>
      </c>
      <c r="AY102">
        <f t="shared" si="142"/>
        <v>0.00500073364394691</v>
      </c>
      <c r="AZ102" t="str">
        <f t="shared" si="116"/>
        <v>1+0,239079620534131i</v>
      </c>
      <c r="BA102">
        <f t="shared" si="143"/>
        <v>1.0281824084056</v>
      </c>
      <c r="BB102">
        <f t="shared" si="144"/>
        <v>0.234674546242204</v>
      </c>
      <c r="BC102" s="30" t="str">
        <f t="shared" si="145"/>
        <v>-0,653098450510802+2,79341468747131i</v>
      </c>
      <c r="BD102" s="32">
        <f t="shared" si="146"/>
        <v>9.15384173006479</v>
      </c>
      <c r="BE102" s="31">
        <f t="shared" si="147"/>
        <v>103.159340126559</v>
      </c>
      <c r="BF102" s="30" t="str">
        <f t="shared" si="148"/>
        <v>69,9954913178059+227,840885229822i</v>
      </c>
      <c r="BG102" s="68">
        <f t="shared" si="149"/>
        <v>47.5443119384766</v>
      </c>
      <c r="BH102" s="31">
        <f t="shared" si="150"/>
        <v>72.9224053861071</v>
      </c>
      <c r="BI102" s="30" t="str">
        <f t="shared" si="103"/>
        <v>-63,0453709240077+669,831935213228i</v>
      </c>
      <c r="BJ102" s="68">
        <f t="shared" si="151"/>
        <v>56.5576208357712</v>
      </c>
      <c r="BK102" s="31">
        <f t="shared" si="104"/>
        <v>95.3769059698263</v>
      </c>
      <c r="BL102" s="32">
        <f t="shared" si="152"/>
        <v>47.5443119384766</v>
      </c>
      <c r="BM102" s="31">
        <f t="shared" si="153"/>
        <v>72.9224053861071</v>
      </c>
      <c r="BO102">
        <f t="shared" si="154"/>
        <v>0</v>
      </c>
      <c r="BP102">
        <f t="shared" si="155"/>
        <v>0</v>
      </c>
    </row>
    <row r="103" spans="14:68">
      <c r="N103" s="7">
        <v>85</v>
      </c>
      <c r="O103" s="18">
        <f t="shared" si="117"/>
        <v>70.7945784384139</v>
      </c>
      <c r="P103" s="86" t="str">
        <f t="shared" si="105"/>
        <v>96,0576923076923</v>
      </c>
      <c r="Q103" s="4" t="str">
        <f t="shared" si="106"/>
        <v>1+0,593760199374473i</v>
      </c>
      <c r="R103" s="4">
        <f t="shared" si="118"/>
        <v>1.16299233632953</v>
      </c>
      <c r="S103" s="4">
        <f t="shared" si="119"/>
        <v>0.535818778836058</v>
      </c>
      <c r="T103" s="4" t="str">
        <f t="shared" si="107"/>
        <v>1+0,00697470633553234i</v>
      </c>
      <c r="U103" s="4">
        <f t="shared" si="120"/>
        <v>1.00002432296843</v>
      </c>
      <c r="V103" s="4">
        <f t="shared" si="121"/>
        <v>0.00697459324041657</v>
      </c>
      <c r="W103" t="str">
        <f t="shared" si="108"/>
        <v>1-0,00331140394331538i</v>
      </c>
      <c r="X103" s="4">
        <f t="shared" si="122"/>
        <v>1.00000548268301</v>
      </c>
      <c r="Y103" s="4">
        <f t="shared" si="123"/>
        <v>-0.00331139183977641</v>
      </c>
      <c r="Z103" t="str">
        <f t="shared" si="109"/>
        <v>0,999999959086756+0,00567637632965289i</v>
      </c>
      <c r="AA103" s="4">
        <f t="shared" si="124"/>
        <v>1.00001606958176</v>
      </c>
      <c r="AB103" s="4">
        <f t="shared" si="125"/>
        <v>0.00567631559641941</v>
      </c>
      <c r="AC103" s="67" t="str">
        <f t="shared" si="126"/>
        <v>70,9355764037399-42,3120996178085i</v>
      </c>
      <c r="AD103" s="68">
        <f t="shared" si="127"/>
        <v>38.3392252288526</v>
      </c>
      <c r="AE103" s="31">
        <f t="shared" si="128"/>
        <v>-30.8154975582558</v>
      </c>
      <c r="AF103" s="32" t="str">
        <f t="shared" si="129"/>
        <v>236,914774604583</v>
      </c>
      <c r="AG103" s="32" t="str">
        <f t="shared" si="110"/>
        <v>1+0,146627349099259i</v>
      </c>
      <c r="AH103" s="32">
        <f t="shared" si="130"/>
        <v>1.01069262365166</v>
      </c>
      <c r="AI103" s="32">
        <f t="shared" si="131"/>
        <v>0.145589890740497</v>
      </c>
      <c r="AJ103" s="32" t="str">
        <f t="shared" si="111"/>
        <v>1+0,00697470633553234i</v>
      </c>
      <c r="AK103" s="32">
        <f t="shared" si="132"/>
        <v>1.00002432296843</v>
      </c>
      <c r="AL103" s="32">
        <f t="shared" si="133"/>
        <v>0.00697459324041657</v>
      </c>
      <c r="AM103" s="32" t="str">
        <f t="shared" si="112"/>
        <v>1-0,00033154586499466i</v>
      </c>
      <c r="AN103" s="32">
        <f t="shared" si="134"/>
        <v>1.00000005496133</v>
      </c>
      <c r="AO103" s="32">
        <f t="shared" si="135"/>
        <v>-0.000331545852846526</v>
      </c>
      <c r="AP103" s="30" t="str">
        <f t="shared" si="136"/>
        <v>232,15486188414-32,4663891130366i</v>
      </c>
      <c r="AQ103" s="32">
        <f t="shared" si="137"/>
        <v>47.3996727249021</v>
      </c>
      <c r="AR103" s="31">
        <f t="shared" si="138"/>
        <v>-7.96106770078808</v>
      </c>
      <c r="AS103" t="str">
        <f t="shared" si="113"/>
        <v>-0,000272527472527473</v>
      </c>
      <c r="AT103" t="str">
        <f t="shared" si="114"/>
        <v>0,0000999500327547267i</v>
      </c>
      <c r="AU103">
        <f t="shared" si="139"/>
        <v>9.99500327547267e-5</v>
      </c>
      <c r="AV103">
        <f t="shared" si="140"/>
        <v>1.5707963267949</v>
      </c>
      <c r="AW103" t="str">
        <f t="shared" si="115"/>
        <v>1+0,00511725835051925i</v>
      </c>
      <c r="AX103">
        <f t="shared" si="141"/>
        <v>1.0000130930808</v>
      </c>
      <c r="AY103">
        <f t="shared" si="142"/>
        <v>0.00511721368381059</v>
      </c>
      <c r="AZ103" t="str">
        <f t="shared" si="116"/>
        <v>1+0,244648500289718i</v>
      </c>
      <c r="BA103">
        <f t="shared" si="143"/>
        <v>1.02949156805387</v>
      </c>
      <c r="BB103">
        <f t="shared" si="144"/>
        <v>0.239935650172148</v>
      </c>
      <c r="BC103" s="30" t="str">
        <f t="shared" si="145"/>
        <v>-0,653097680802751+2,72997922030835i</v>
      </c>
      <c r="BD103" s="32">
        <f t="shared" si="146"/>
        <v>8.96488910872262</v>
      </c>
      <c r="BE103" s="31">
        <f t="shared" si="147"/>
        <v>103.454105362642</v>
      </c>
      <c r="BF103" s="30" t="str">
        <f t="shared" si="148"/>
        <v>69,1832922885452+221,286583693091i</v>
      </c>
      <c r="BG103" s="68">
        <f t="shared" si="149"/>
        <v>47.3041143375752</v>
      </c>
      <c r="BH103" s="31">
        <f t="shared" si="150"/>
        <v>72.6386078043867</v>
      </c>
      <c r="BI103" s="30" t="str">
        <f t="shared" si="103"/>
        <v>-62,9872342465796+654,981672271021i</v>
      </c>
      <c r="BJ103" s="68">
        <f t="shared" si="151"/>
        <v>56.3645618336247</v>
      </c>
      <c r="BK103" s="31">
        <f t="shared" si="104"/>
        <v>95.4930376618544</v>
      </c>
      <c r="BL103" s="32">
        <f t="shared" si="152"/>
        <v>47.3041143375752</v>
      </c>
      <c r="BM103" s="31">
        <f t="shared" si="153"/>
        <v>72.6386078043867</v>
      </c>
      <c r="BO103">
        <f t="shared" si="154"/>
        <v>0</v>
      </c>
      <c r="BP103">
        <f t="shared" si="155"/>
        <v>0</v>
      </c>
    </row>
    <row r="104" spans="14:68">
      <c r="N104" s="7">
        <v>86</v>
      </c>
      <c r="O104" s="18">
        <f t="shared" si="117"/>
        <v>72.443596007499</v>
      </c>
      <c r="P104" s="86" t="str">
        <f t="shared" si="105"/>
        <v>96,0576923076923</v>
      </c>
      <c r="Q104" s="4" t="str">
        <f t="shared" si="106"/>
        <v>1+0,60759065111512i</v>
      </c>
      <c r="R104" s="4">
        <f t="shared" si="118"/>
        <v>1.17011384032602</v>
      </c>
      <c r="S104" s="4">
        <f t="shared" si="119"/>
        <v>0.545982175436528</v>
      </c>
      <c r="T104" s="4" t="str">
        <f t="shared" si="107"/>
        <v>1+0,0071371681163664i</v>
      </c>
      <c r="U104" s="4">
        <f t="shared" si="120"/>
        <v>1.00002546926002</v>
      </c>
      <c r="V104" s="4">
        <f t="shared" si="121"/>
        <v>0.00713704693293321</v>
      </c>
      <c r="W104" t="str">
        <f t="shared" si="108"/>
        <v>1-0,00338853644980548i</v>
      </c>
      <c r="X104" s="4">
        <f t="shared" si="122"/>
        <v>1.00000574107316</v>
      </c>
      <c r="Y104" s="4">
        <f t="shared" si="123"/>
        <v>-0.00338852348063383</v>
      </c>
      <c r="Z104" t="str">
        <f t="shared" si="109"/>
        <v>0,999999957158575+0,00580859611968214i</v>
      </c>
      <c r="AA104" s="4">
        <f t="shared" si="124"/>
        <v>1.00001682691144</v>
      </c>
      <c r="AB104" s="4">
        <f t="shared" si="125"/>
        <v>0.00580853104290914</v>
      </c>
      <c r="AC104" s="67" t="str">
        <f t="shared" si="126"/>
        <v>70,0708392642617-42,7722691342557i</v>
      </c>
      <c r="AD104" s="68">
        <f t="shared" si="127"/>
        <v>38.2862055837585</v>
      </c>
      <c r="AE104" s="31">
        <f t="shared" si="128"/>
        <v>-31.4005040825912</v>
      </c>
      <c r="AF104" s="32" t="str">
        <f t="shared" si="129"/>
        <v>236,914774604583</v>
      </c>
      <c r="AG104" s="32" t="str">
        <f t="shared" si="110"/>
        <v>1+0,150042738809975i</v>
      </c>
      <c r="AH104" s="32">
        <f t="shared" si="130"/>
        <v>1.01119376158558</v>
      </c>
      <c r="AI104" s="32">
        <f t="shared" si="131"/>
        <v>0.148931745694573</v>
      </c>
      <c r="AJ104" s="32" t="str">
        <f t="shared" si="111"/>
        <v>1+0,0071371681163664i</v>
      </c>
      <c r="AK104" s="32">
        <f t="shared" si="132"/>
        <v>1.00002546926002</v>
      </c>
      <c r="AL104" s="32">
        <f t="shared" si="133"/>
        <v>0.00713704693293321</v>
      </c>
      <c r="AM104" s="32" t="str">
        <f t="shared" si="112"/>
        <v>1-0,000339268560268695i</v>
      </c>
      <c r="AN104" s="32">
        <f t="shared" si="134"/>
        <v>1.00000005755158</v>
      </c>
      <c r="AO104" s="32">
        <f t="shared" si="135"/>
        <v>-0.000339268547251735</v>
      </c>
      <c r="AP104" s="30" t="str">
        <f t="shared" si="136"/>
        <v>231,935473168211-33,1897107802283i</v>
      </c>
      <c r="AQ104" s="32">
        <f t="shared" si="137"/>
        <v>47.3953769930596</v>
      </c>
      <c r="AR104" s="31">
        <f t="shared" si="138"/>
        <v>-8.14367645224989</v>
      </c>
      <c r="AS104" t="str">
        <f t="shared" si="113"/>
        <v>-0,000272527472527473</v>
      </c>
      <c r="AT104" t="str">
        <f t="shared" si="114"/>
        <v>0,000102278168096144i</v>
      </c>
      <c r="AU104">
        <f t="shared" si="139"/>
        <v>0.000102278168096144</v>
      </c>
      <c r="AV104">
        <f t="shared" si="140"/>
        <v>1.5707963267949</v>
      </c>
      <c r="AW104" t="str">
        <f t="shared" si="115"/>
        <v>1+0,00523645460977651i</v>
      </c>
      <c r="AX104">
        <f t="shared" si="141"/>
        <v>1.00001371013446</v>
      </c>
      <c r="AY104">
        <f t="shared" si="142"/>
        <v>0.00523640674857132</v>
      </c>
      <c r="AZ104" t="str">
        <f t="shared" si="116"/>
        <v>1+0,250347095918464i</v>
      </c>
      <c r="BA104">
        <f t="shared" si="143"/>
        <v>1.03086064452709</v>
      </c>
      <c r="BB104">
        <f t="shared" si="144"/>
        <v>0.245305314949208</v>
      </c>
      <c r="BC104" s="30" t="str">
        <f t="shared" si="145"/>
        <v>-0,653096874821422+2,66799122389219i</v>
      </c>
      <c r="BD104" s="32">
        <f t="shared" si="146"/>
        <v>8.77642706568984</v>
      </c>
      <c r="BE104" s="31">
        <f t="shared" si="147"/>
        <v>103.75493523221</v>
      </c>
      <c r="BF104" s="30" t="str">
        <f t="shared" si="148"/>
        <v>68,3529925365455+214,882819508414i</v>
      </c>
      <c r="BG104" s="68">
        <f t="shared" si="149"/>
        <v>47.0626326494483</v>
      </c>
      <c r="BH104" s="31">
        <f t="shared" si="150"/>
        <v>72.354431149619</v>
      </c>
      <c r="BI104" s="30" t="str">
        <f t="shared" si="103"/>
        <v>-62,9264756012172+640,477903308863i</v>
      </c>
      <c r="BJ104" s="68">
        <f t="shared" si="151"/>
        <v>56.1718040587494</v>
      </c>
      <c r="BK104" s="31">
        <f t="shared" si="104"/>
        <v>95.6112587799602</v>
      </c>
      <c r="BL104" s="32">
        <f t="shared" si="152"/>
        <v>47.0626326494483</v>
      </c>
      <c r="BM104" s="31">
        <f t="shared" si="153"/>
        <v>72.354431149619</v>
      </c>
      <c r="BO104">
        <f t="shared" si="154"/>
        <v>0</v>
      </c>
      <c r="BP104">
        <f t="shared" si="155"/>
        <v>0</v>
      </c>
    </row>
    <row r="105" spans="14:68">
      <c r="N105" s="7">
        <v>87</v>
      </c>
      <c r="O105" s="18">
        <f t="shared" si="117"/>
        <v>74.1310241300918</v>
      </c>
      <c r="P105" s="86" t="str">
        <f t="shared" si="105"/>
        <v>96,0576923076923</v>
      </c>
      <c r="Q105" s="4" t="str">
        <f t="shared" si="106"/>
        <v>1+0,621743255461404i</v>
      </c>
      <c r="R105" s="4">
        <f t="shared" si="118"/>
        <v>1.17752480895807</v>
      </c>
      <c r="S105" s="4">
        <f t="shared" si="119"/>
        <v>0.556253958068546</v>
      </c>
      <c r="T105" s="4" t="str">
        <f t="shared" si="107"/>
        <v>1+0,00730341411820737i</v>
      </c>
      <c r="U105" s="4">
        <f t="shared" si="120"/>
        <v>1.00002666957326</v>
      </c>
      <c r="V105" s="4">
        <f t="shared" si="121"/>
        <v>0.00730328426800626</v>
      </c>
      <c r="W105" t="str">
        <f t="shared" si="108"/>
        <v>1-0,00346746560317386i</v>
      </c>
      <c r="X105" s="4">
        <f t="shared" si="122"/>
        <v>1.00000601164078</v>
      </c>
      <c r="Y105" s="4">
        <f t="shared" si="123"/>
        <v>-0.00346745170646058</v>
      </c>
      <c r="Z105" t="str">
        <f t="shared" si="109"/>
        <v>0,99999995513952+0,00594389570425992i</v>
      </c>
      <c r="AA105" s="4">
        <f t="shared" si="124"/>
        <v>1.00001761993236</v>
      </c>
      <c r="AB105" s="4">
        <f t="shared" si="125"/>
        <v>0.00594382597330769</v>
      </c>
      <c r="AC105" s="67" t="str">
        <f t="shared" si="126"/>
        <v>69,1875606973503-43,2193911076933i</v>
      </c>
      <c r="AD105" s="68">
        <f t="shared" si="127"/>
        <v>38.231372478624</v>
      </c>
      <c r="AE105" s="31">
        <f t="shared" si="128"/>
        <v>-31.9917832605101</v>
      </c>
      <c r="AF105" s="32" t="str">
        <f t="shared" si="129"/>
        <v>236,914774604583</v>
      </c>
      <c r="AG105" s="32" t="str">
        <f t="shared" si="110"/>
        <v>1+0,153537683166859i</v>
      </c>
      <c r="AH105" s="32">
        <f t="shared" si="130"/>
        <v>1.01171825136856</v>
      </c>
      <c r="AI105" s="32">
        <f t="shared" si="131"/>
        <v>0.152347976024511</v>
      </c>
      <c r="AJ105" s="32" t="str">
        <f t="shared" si="111"/>
        <v>1+0,00730341411820737i</v>
      </c>
      <c r="AK105" s="32">
        <f t="shared" si="132"/>
        <v>1.00002666957326</v>
      </c>
      <c r="AL105" s="32">
        <f t="shared" si="133"/>
        <v>0.00730328426800626</v>
      </c>
      <c r="AM105" s="32" t="str">
        <f t="shared" si="112"/>
        <v>1-0,000347171140224137i</v>
      </c>
      <c r="AN105" s="32">
        <f t="shared" si="134"/>
        <v>1.0000000602639</v>
      </c>
      <c r="AO105" s="32">
        <f t="shared" si="135"/>
        <v>-0.000347171126276213</v>
      </c>
      <c r="AP105" s="30" t="str">
        <f t="shared" si="136"/>
        <v>231,706210517697-33,9275980010361i</v>
      </c>
      <c r="AQ105" s="32">
        <f t="shared" si="137"/>
        <v>47.3908833802242</v>
      </c>
      <c r="AR105" s="31">
        <f t="shared" si="138"/>
        <v>-8.33034011872815</v>
      </c>
      <c r="AS105" t="str">
        <f t="shared" si="113"/>
        <v>-0,000272527472527473</v>
      </c>
      <c r="AT105" t="str">
        <f t="shared" si="114"/>
        <v>0,000104660532676097i</v>
      </c>
      <c r="AU105">
        <f t="shared" si="139"/>
        <v>0.000104660532676097</v>
      </c>
      <c r="AV105">
        <f t="shared" si="140"/>
        <v>1.5707963267949</v>
      </c>
      <c r="AW105" t="str">
        <f t="shared" si="115"/>
        <v>1+0,00535842730658056i</v>
      </c>
      <c r="AX105">
        <f t="shared" si="141"/>
        <v>1.00001435626855</v>
      </c>
      <c r="AY105">
        <f t="shared" si="142"/>
        <v>0.00535837602241499</v>
      </c>
      <c r="AZ105" t="str">
        <f t="shared" si="116"/>
        <v>1+0,256178428891202i</v>
      </c>
      <c r="BA105">
        <f t="shared" si="143"/>
        <v>1.03229229747643</v>
      </c>
      <c r="BB105">
        <f t="shared" si="144"/>
        <v>0.250785148506615</v>
      </c>
      <c r="BC105" s="30" t="str">
        <f t="shared" si="145"/>
        <v>-0,6530960308575+2,60741783134009i</v>
      </c>
      <c r="BD105" s="32">
        <f t="shared" si="146"/>
        <v>8.58847599514888</v>
      </c>
      <c r="BE105" s="31">
        <f t="shared" si="147"/>
        <v>104.061918242862</v>
      </c>
      <c r="BF105" s="30" t="str">
        <f t="shared" si="148"/>
        <v>67,504889757709+208,627292257708i</v>
      </c>
      <c r="BG105" s="68">
        <f t="shared" si="149"/>
        <v>46.8198484737729</v>
      </c>
      <c r="BH105" s="31">
        <f t="shared" si="150"/>
        <v>72.070134982352</v>
      </c>
      <c r="BI105" s="30" t="str">
        <f t="shared" si="103"/>
        <v>-62,8629824117003+626,312884527089i</v>
      </c>
      <c r="BJ105" s="68">
        <f t="shared" si="151"/>
        <v>55.979359375373</v>
      </c>
      <c r="BK105" s="31">
        <f t="shared" si="104"/>
        <v>95.731578124134</v>
      </c>
      <c r="BL105" s="32">
        <f t="shared" si="152"/>
        <v>46.8198484737729</v>
      </c>
      <c r="BM105" s="31">
        <f t="shared" si="153"/>
        <v>72.070134982352</v>
      </c>
      <c r="BO105">
        <f t="shared" si="154"/>
        <v>0</v>
      </c>
      <c r="BP105">
        <f t="shared" si="155"/>
        <v>0</v>
      </c>
    </row>
    <row r="106" spans="14:68">
      <c r="N106" s="7">
        <v>88</v>
      </c>
      <c r="O106" s="18">
        <f t="shared" si="117"/>
        <v>75.8577575029184</v>
      </c>
      <c r="P106" s="86" t="str">
        <f t="shared" si="105"/>
        <v>96,0576923076923</v>
      </c>
      <c r="Q106" s="4" t="str">
        <f t="shared" si="106"/>
        <v>1+0,636225516311477i</v>
      </c>
      <c r="R106" s="4">
        <f t="shared" si="118"/>
        <v>1.18523538067584</v>
      </c>
      <c r="S106" s="4">
        <f t="shared" si="119"/>
        <v>0.566630902394901</v>
      </c>
      <c r="T106" s="4" t="str">
        <f t="shared" si="107"/>
        <v>1+0,00747353248688593i</v>
      </c>
      <c r="U106" s="4">
        <f t="shared" si="120"/>
        <v>1.00002792645397</v>
      </c>
      <c r="V106" s="4">
        <f t="shared" si="121"/>
        <v>0.0074733933500985</v>
      </c>
      <c r="W106" t="str">
        <f t="shared" si="108"/>
        <v>1-0,00354823325270237i</v>
      </c>
      <c r="X106" s="4">
        <f t="shared" si="122"/>
        <v>1.00000629495979</v>
      </c>
      <c r="Y106" s="4">
        <f t="shared" si="123"/>
        <v>-0.00354821836211087</v>
      </c>
      <c r="Z106" t="str">
        <f t="shared" si="109"/>
        <v>0,999999953025311+0,00608234682101686i</v>
      </c>
      <c r="AA106" s="4">
        <f t="shared" si="124"/>
        <v>1.00001845032653</v>
      </c>
      <c r="AB106" s="4">
        <f t="shared" si="125"/>
        <v>0.00608227210302982</v>
      </c>
      <c r="AC106" s="67" t="str">
        <f t="shared" si="126"/>
        <v>68,2861043162804-43,6525708536229i</v>
      </c>
      <c r="AD106" s="68">
        <f t="shared" si="127"/>
        <v>38.1746878182928</v>
      </c>
      <c r="AE106" s="31">
        <f t="shared" si="128"/>
        <v>-32.5891518096089</v>
      </c>
      <c r="AF106" s="32" t="str">
        <f t="shared" si="129"/>
        <v>236,914774604583</v>
      </c>
      <c r="AG106" s="32" t="str">
        <f t="shared" si="110"/>
        <v>1+0,15711403523567i</v>
      </c>
      <c r="AH106" s="32">
        <f t="shared" si="130"/>
        <v>1.01226716832466</v>
      </c>
      <c r="AI106" s="32">
        <f t="shared" si="131"/>
        <v>0.155840073939767</v>
      </c>
      <c r="AJ106" s="32" t="str">
        <f t="shared" si="111"/>
        <v>1+0,00747353248688593i</v>
      </c>
      <c r="AK106" s="32">
        <f t="shared" si="132"/>
        <v>1.00002792645397</v>
      </c>
      <c r="AL106" s="32">
        <f t="shared" si="133"/>
        <v>0.0074733933500985</v>
      </c>
      <c r="AM106" s="32" t="str">
        <f t="shared" si="112"/>
        <v>1-0,000355257794913479i</v>
      </c>
      <c r="AN106" s="32">
        <f t="shared" si="134"/>
        <v>1.00000006310405</v>
      </c>
      <c r="AO106" s="32">
        <f t="shared" si="135"/>
        <v>-0.00035525777996801</v>
      </c>
      <c r="AP106" s="30" t="str">
        <f t="shared" si="136"/>
        <v>231,466651915835-34,6802352607649i</v>
      </c>
      <c r="AQ106" s="32">
        <f t="shared" si="137"/>
        <v>47.3861829911253</v>
      </c>
      <c r="AR106" s="31">
        <f t="shared" si="138"/>
        <v>-8.52113938958489</v>
      </c>
      <c r="AS106" t="str">
        <f t="shared" si="113"/>
        <v>-0,000272527472527473</v>
      </c>
      <c r="AT106" t="str">
        <f t="shared" si="114"/>
        <v>0,000107098389655821i</v>
      </c>
      <c r="AU106">
        <f t="shared" si="139"/>
        <v>0.000107098389655821</v>
      </c>
      <c r="AV106">
        <f t="shared" si="140"/>
        <v>1.5707963267949</v>
      </c>
      <c r="AW106" t="str">
        <f t="shared" si="115"/>
        <v>1+0,00548324111246972i</v>
      </c>
      <c r="AX106">
        <f t="shared" si="141"/>
        <v>1.00001503285356</v>
      </c>
      <c r="AY106">
        <f t="shared" si="142"/>
        <v>0.00548318616054088</v>
      </c>
      <c r="AZ106" t="str">
        <f t="shared" si="116"/>
        <v>1+0,262145591057861i</v>
      </c>
      <c r="BA106">
        <f t="shared" si="143"/>
        <v>1.03378929715444</v>
      </c>
      <c r="BB106">
        <f t="shared" si="144"/>
        <v>0.256376739353395</v>
      </c>
      <c r="BC106" s="30" t="str">
        <f t="shared" si="145"/>
        <v>-0,653095147121118+2,54822692580905i</v>
      </c>
      <c r="BD106" s="32">
        <f t="shared" si="146"/>
        <v>8.40105701370581</v>
      </c>
      <c r="BE106" s="31">
        <f t="shared" si="147"/>
        <v>104.375141704992</v>
      </c>
      <c r="BF106" s="30" t="str">
        <f t="shared" si="148"/>
        <v>66,63933308522+202,517771861213i</v>
      </c>
      <c r="BG106" s="68">
        <f t="shared" si="149"/>
        <v>46.5757448319986</v>
      </c>
      <c r="BH106" s="31">
        <f t="shared" si="150"/>
        <v>71.7859898953827</v>
      </c>
      <c r="BI106" s="30" t="str">
        <f t="shared" si="103"/>
        <v>-62,7966378017313+612,479048188626i</v>
      </c>
      <c r="BJ106" s="68">
        <f t="shared" si="151"/>
        <v>55.7872400048311</v>
      </c>
      <c r="BK106" s="31">
        <f t="shared" si="104"/>
        <v>95.8540023154067</v>
      </c>
      <c r="BL106" s="32">
        <f t="shared" si="152"/>
        <v>46.5757448319986</v>
      </c>
      <c r="BM106" s="31">
        <f t="shared" si="153"/>
        <v>71.7859898953827</v>
      </c>
      <c r="BO106">
        <f t="shared" si="154"/>
        <v>0</v>
      </c>
      <c r="BP106">
        <f t="shared" si="155"/>
        <v>0</v>
      </c>
    </row>
    <row r="107" spans="14:68">
      <c r="N107" s="7">
        <v>89</v>
      </c>
      <c r="O107" s="18">
        <f t="shared" si="117"/>
        <v>77.6247116628692</v>
      </c>
      <c r="P107" s="86" t="str">
        <f t="shared" si="105"/>
        <v>96,0576923076923</v>
      </c>
      <c r="Q107" s="4" t="str">
        <f t="shared" si="106"/>
        <v>1+0,65104511235174i</v>
      </c>
      <c r="R107" s="4">
        <f t="shared" si="118"/>
        <v>1.19325593998819</v>
      </c>
      <c r="S107" s="4">
        <f t="shared" si="119"/>
        <v>0.577109570891924</v>
      </c>
      <c r="T107" s="4" t="str">
        <f t="shared" si="107"/>
        <v>1+0,00764761342141294i</v>
      </c>
      <c r="U107" s="4">
        <f t="shared" si="120"/>
        <v>1.00002924256796</v>
      </c>
      <c r="V107" s="4">
        <f t="shared" si="121"/>
        <v>0.0076474643338946</v>
      </c>
      <c r="W107" t="str">
        <f t="shared" si="108"/>
        <v>1-0,00363088222246788i</v>
      </c>
      <c r="X107" s="4">
        <f t="shared" si="122"/>
        <v>1.00000659163113</v>
      </c>
      <c r="Y107" s="4">
        <f t="shared" si="123"/>
        <v>-0.00363086626691731</v>
      </c>
      <c r="Z107" t="str">
        <f t="shared" si="109"/>
        <v>0,999999950811462+0,00622402287856768i</v>
      </c>
      <c r="AA107" s="4">
        <f t="shared" si="124"/>
        <v>1.00001931985523</v>
      </c>
      <c r="AB107" s="4">
        <f t="shared" si="125"/>
        <v>0.00622394281688566</v>
      </c>
      <c r="AC107" s="67" t="str">
        <f t="shared" si="126"/>
        <v>67,3668881651654-44,0709190464445i</v>
      </c>
      <c r="AD107" s="68">
        <f t="shared" si="127"/>
        <v>38.1161143190893</v>
      </c>
      <c r="AE107" s="31">
        <f t="shared" si="128"/>
        <v>-33.1924142668133</v>
      </c>
      <c r="AF107" s="32" t="str">
        <f t="shared" si="129"/>
        <v>236,914774604583</v>
      </c>
      <c r="AG107" s="32" t="str">
        <f t="shared" si="110"/>
        <v>1+0,160773691245613i</v>
      </c>
      <c r="AH107" s="32">
        <f t="shared" si="130"/>
        <v>1.01284163608964</v>
      </c>
      <c r="AI107" s="32">
        <f t="shared" si="131"/>
        <v>0.159409550139916</v>
      </c>
      <c r="AJ107" s="32" t="str">
        <f t="shared" si="111"/>
        <v>1+0,00764761342141294i</v>
      </c>
      <c r="AK107" s="32">
        <f t="shared" si="132"/>
        <v>1.00002924256796</v>
      </c>
      <c r="AL107" s="32">
        <f t="shared" si="133"/>
        <v>0.0076474643338946</v>
      </c>
      <c r="AM107" s="32" t="str">
        <f t="shared" si="112"/>
        <v>1-0,000363532811988076i</v>
      </c>
      <c r="AN107" s="32">
        <f t="shared" si="134"/>
        <v>1.00000006607805</v>
      </c>
      <c r="AO107" s="32">
        <f t="shared" si="135"/>
        <v>-0.000363532795973717</v>
      </c>
      <c r="AP107" s="30" t="str">
        <f t="shared" si="136"/>
        <v>231,216359409614-35,4478012628725i</v>
      </c>
      <c r="AQ107" s="32">
        <f t="shared" si="137"/>
        <v>47.3812665513104</v>
      </c>
      <c r="AR107" s="31">
        <f t="shared" si="138"/>
        <v>-8.71615590171118</v>
      </c>
      <c r="AS107" t="str">
        <f t="shared" si="113"/>
        <v>-0,000272527472527473</v>
      </c>
      <c r="AT107" t="str">
        <f t="shared" si="114"/>
        <v>0,000109593031619355i</v>
      </c>
      <c r="AU107">
        <f t="shared" si="139"/>
        <v>0.000109593031619355</v>
      </c>
      <c r="AV107">
        <f t="shared" si="140"/>
        <v>1.5707963267949</v>
      </c>
      <c r="AW107" t="str">
        <f t="shared" si="115"/>
        <v>1+0,005610962205376i</v>
      </c>
      <c r="AX107">
        <f t="shared" si="141"/>
        <v>1.00001574132454</v>
      </c>
      <c r="AY107">
        <f t="shared" si="142"/>
        <v>0.00561090332337344</v>
      </c>
      <c r="AZ107" t="str">
        <f t="shared" si="116"/>
        <v>1+0,268251746286805i</v>
      </c>
      <c r="BA107">
        <f t="shared" si="143"/>
        <v>1.03535452835535</v>
      </c>
      <c r="BB107">
        <f t="shared" si="144"/>
        <v>0.262081653031902</v>
      </c>
      <c r="BC107" s="30" t="str">
        <f t="shared" si="145"/>
        <v>-0,653094221738091+2,49038712346701i</v>
      </c>
      <c r="BD107" s="32">
        <f t="shared" si="146"/>
        <v>8.21419197469485</v>
      </c>
      <c r="BE107" s="31">
        <f t="shared" si="147"/>
        <v>104.694691526855</v>
      </c>
      <c r="BF107" s="30" t="str">
        <f t="shared" si="148"/>
        <v>65,7567239154767+196,55209341049i</v>
      </c>
      <c r="BG107" s="68">
        <f t="shared" si="149"/>
        <v>46.3303062937841</v>
      </c>
      <c r="BH107" s="31">
        <f t="shared" si="150"/>
        <v>71.5022772600414</v>
      </c>
      <c r="BI107" s="30" t="str">
        <f t="shared" si="103"/>
        <v>-62,7273204814613+598,968998386725i</v>
      </c>
      <c r="BJ107" s="68">
        <f t="shared" si="151"/>
        <v>55.5954585260052</v>
      </c>
      <c r="BK107" s="31">
        <f t="shared" si="104"/>
        <v>95.9785356251436</v>
      </c>
      <c r="BL107" s="32">
        <f t="shared" si="152"/>
        <v>46.3303062937841</v>
      </c>
      <c r="BM107" s="31">
        <f t="shared" si="153"/>
        <v>71.5022772600414</v>
      </c>
      <c r="BO107">
        <f t="shared" si="154"/>
        <v>0</v>
      </c>
      <c r="BP107">
        <f t="shared" si="155"/>
        <v>0</v>
      </c>
    </row>
    <row r="108" spans="14:68">
      <c r="N108" s="7">
        <v>90</v>
      </c>
      <c r="O108" s="18">
        <f t="shared" si="117"/>
        <v>79.4328234724282</v>
      </c>
      <c r="P108" s="86" t="str">
        <f t="shared" si="105"/>
        <v>96,0576923076923</v>
      </c>
      <c r="Q108" s="4" t="str">
        <f t="shared" si="106"/>
        <v>1+0,666209901128172i</v>
      </c>
      <c r="R108" s="4">
        <f t="shared" si="118"/>
        <v>1.20159711732394</v>
      </c>
      <c r="S108" s="4">
        <f t="shared" si="119"/>
        <v>0.587686314583817</v>
      </c>
      <c r="T108" s="4" t="str">
        <f t="shared" si="107"/>
        <v>1+0,0078257492218041i</v>
      </c>
      <c r="U108" s="4">
        <f t="shared" si="120"/>
        <v>1.00003062070663</v>
      </c>
      <c r="V108" s="4">
        <f t="shared" si="121"/>
        <v>0.00782558947191421</v>
      </c>
      <c r="W108" t="str">
        <f t="shared" si="108"/>
        <v>1-0,00371545633404815i</v>
      </c>
      <c r="X108" s="4">
        <f t="shared" si="122"/>
        <v>1.00000690228406</v>
      </c>
      <c r="Y108" s="4">
        <f t="shared" si="123"/>
        <v>-0.00371543923737406</v>
      </c>
      <c r="Z108" t="str">
        <f t="shared" si="109"/>
        <v>0,999999948493278+0,00636899899543339i</v>
      </c>
      <c r="AA108" s="4">
        <f t="shared" si="124"/>
        <v>1.00002023036275</v>
      </c>
      <c r="AB108" s="4">
        <f t="shared" si="125"/>
        <v>0.00636891320788922</v>
      </c>
      <c r="AC108" s="67" t="str">
        <f t="shared" si="126"/>
        <v>66,4303852941508-44,4735555448892i</v>
      </c>
      <c r="AD108" s="68">
        <f t="shared" si="127"/>
        <v>38.055615622445</v>
      </c>
      <c r="AE108" s="31">
        <f t="shared" si="128"/>
        <v>-33.8013630885436</v>
      </c>
      <c r="AF108" s="32" t="str">
        <f t="shared" si="129"/>
        <v>236,914774604583</v>
      </c>
      <c r="AG108" s="32" t="str">
        <f t="shared" si="110"/>
        <v>1+0,164518591594745i</v>
      </c>
      <c r="AH108" s="32">
        <f t="shared" si="130"/>
        <v>1.01344282866885</v>
      </c>
      <c r="AI108" s="32">
        <f t="shared" si="131"/>
        <v>0.163057933188514</v>
      </c>
      <c r="AJ108" s="32" t="str">
        <f t="shared" si="111"/>
        <v>1+0,0078257492218041i</v>
      </c>
      <c r="AK108" s="32">
        <f t="shared" si="132"/>
        <v>1.00003062070663</v>
      </c>
      <c r="AL108" s="32">
        <f t="shared" si="133"/>
        <v>0.00782558947191421</v>
      </c>
      <c r="AM108" s="32" t="str">
        <f t="shared" si="112"/>
        <v>1-0,000372000578971515i</v>
      </c>
      <c r="AN108" s="32">
        <f t="shared" si="134"/>
        <v>1.00000006919221</v>
      </c>
      <c r="AO108" s="32">
        <f t="shared" si="135"/>
        <v>-0.00037200056181182</v>
      </c>
      <c r="AP108" s="30" t="str">
        <f t="shared" si="136"/>
        <v>230,954878707914-36,2304681872852i</v>
      </c>
      <c r="AQ108" s="32">
        <f t="shared" si="137"/>
        <v>47.3761243929228</v>
      </c>
      <c r="AR108" s="31">
        <f t="shared" si="138"/>
        <v>-8.91547220105359</v>
      </c>
      <c r="AS108" t="str">
        <f t="shared" si="113"/>
        <v>-0,000272527472527473</v>
      </c>
      <c r="AT108" t="str">
        <f t="shared" si="114"/>
        <v>0,000112145781258889i</v>
      </c>
      <c r="AU108">
        <f t="shared" si="139"/>
        <v>0.000112145781258889</v>
      </c>
      <c r="AV108">
        <f t="shared" si="140"/>
        <v>1.5707963267949</v>
      </c>
      <c r="AW108" t="str">
        <f t="shared" si="115"/>
        <v>1+0,00574165830471343i</v>
      </c>
      <c r="AX108">
        <f t="shared" si="141"/>
        <v>1.0000164831842</v>
      </c>
      <c r="AY108">
        <f t="shared" si="142"/>
        <v>0.00574159521156713</v>
      </c>
      <c r="AZ108" t="str">
        <f t="shared" si="116"/>
        <v>1+0,274500132142363i</v>
      </c>
      <c r="BA108">
        <f t="shared" si="143"/>
        <v>1.03699099443832</v>
      </c>
      <c r="BB108">
        <f t="shared" si="144"/>
        <v>0.267901428372634</v>
      </c>
      <c r="BC108" s="30" t="str">
        <f t="shared" si="145"/>
        <v>-0,653093252745915+2,43386775685247i</v>
      </c>
      <c r="BD108" s="32">
        <f t="shared" si="146"/>
        <v>8.02790348168158</v>
      </c>
      <c r="BE108" s="31">
        <f t="shared" si="147"/>
        <v>105.020651997983</v>
      </c>
      <c r="BF108" s="30" t="str">
        <f t="shared" si="148"/>
        <v>64,8575164603719+190,728151894708i</v>
      </c>
      <c r="BG108" s="68">
        <f t="shared" si="149"/>
        <v>46.0835191041266</v>
      </c>
      <c r="BH108" s="31">
        <f t="shared" si="150"/>
        <v>71.2192889094394</v>
      </c>
      <c r="BI108" s="30" t="str">
        <f t="shared" si="103"/>
        <v>-62,6549046361872+585,775506891906i</v>
      </c>
      <c r="BJ108" s="68">
        <f t="shared" si="151"/>
        <v>55.4040278746044</v>
      </c>
      <c r="BK108" s="31">
        <f t="shared" si="104"/>
        <v>96.1051797969294</v>
      </c>
      <c r="BL108" s="32">
        <f t="shared" si="152"/>
        <v>46.0835191041266</v>
      </c>
      <c r="BM108" s="31">
        <f t="shared" si="153"/>
        <v>71.2192889094394</v>
      </c>
      <c r="BO108">
        <f t="shared" si="154"/>
        <v>0</v>
      </c>
      <c r="BP108">
        <f t="shared" si="155"/>
        <v>0</v>
      </c>
    </row>
    <row r="109" spans="14:68">
      <c r="N109" s="7">
        <v>91</v>
      </c>
      <c r="O109" s="18">
        <f t="shared" si="117"/>
        <v>81.28305161641</v>
      </c>
      <c r="P109" s="86" t="str">
        <f t="shared" si="105"/>
        <v>96,0576923076923</v>
      </c>
      <c r="Q109" s="4" t="str">
        <f t="shared" si="106"/>
        <v>1+0,681727923212511i</v>
      </c>
      <c r="R109" s="4">
        <f t="shared" si="118"/>
        <v>1.21026978863708</v>
      </c>
      <c r="S109" s="4">
        <f t="shared" si="119"/>
        <v>0.59835727570647</v>
      </c>
      <c r="T109" s="4" t="str">
        <f t="shared" si="107"/>
        <v>1+0,00800803433801869i</v>
      </c>
      <c r="U109" s="4">
        <f t="shared" si="120"/>
        <v>1.00003206379294</v>
      </c>
      <c r="V109" s="4">
        <f t="shared" si="121"/>
        <v>0.00800786316322409</v>
      </c>
      <c r="W109" t="str">
        <f t="shared" si="108"/>
        <v>1-0,00380200042975661i</v>
      </c>
      <c r="X109" s="4">
        <f t="shared" si="122"/>
        <v>1.00000722757751</v>
      </c>
      <c r="Y109" s="4">
        <f t="shared" si="123"/>
        <v>-0.00380198211034741</v>
      </c>
      <c r="Z109" t="str">
        <f t="shared" si="109"/>
        <v>0,999999946065841+0,00651735203987015i</v>
      </c>
      <c r="AA109" s="4">
        <f t="shared" si="124"/>
        <v>1.00002118378027</v>
      </c>
      <c r="AB109" s="4">
        <f t="shared" si="125"/>
        <v>0.00651726011696559</v>
      </c>
      <c r="AC109" s="67" t="str">
        <f t="shared" si="126"/>
        <v>65,4771240283892-44,8596133433659i</v>
      </c>
      <c r="AD109" s="68">
        <f t="shared" si="127"/>
        <v>37.9931564094053</v>
      </c>
      <c r="AE109" s="31">
        <f t="shared" si="128"/>
        <v>-34.4157788041537</v>
      </c>
      <c r="AF109" s="32" t="str">
        <f t="shared" si="129"/>
        <v>236,914774604583</v>
      </c>
      <c r="AG109" s="32" t="str">
        <f t="shared" si="110"/>
        <v>1+0,168350721878802i</v>
      </c>
      <c r="AH109" s="32">
        <f t="shared" si="130"/>
        <v>1.01407197257252</v>
      </c>
      <c r="AI109" s="32">
        <f t="shared" si="131"/>
        <v>0.166786768809005</v>
      </c>
      <c r="AJ109" s="32" t="str">
        <f t="shared" si="111"/>
        <v>1+0,00800803433801869i</v>
      </c>
      <c r="AK109" s="32">
        <f t="shared" si="132"/>
        <v>1.00003206379294</v>
      </c>
      <c r="AL109" s="32">
        <f t="shared" si="133"/>
        <v>0.00800786316322409</v>
      </c>
      <c r="AM109" s="32" t="str">
        <f t="shared" si="112"/>
        <v>1-0,000380665585585935i</v>
      </c>
      <c r="AN109" s="32">
        <f t="shared" si="134"/>
        <v>1.00000007245314</v>
      </c>
      <c r="AO109" s="32">
        <f t="shared" si="135"/>
        <v>-0.000380665567198991</v>
      </c>
      <c r="AP109" s="30" t="str">
        <f t="shared" si="136"/>
        <v>230,681738789917-37,0284009007312i</v>
      </c>
      <c r="AQ109" s="32">
        <f t="shared" si="137"/>
        <v>47.3707464401306</v>
      </c>
      <c r="AR109" s="31">
        <f t="shared" si="138"/>
        <v>-9.11917169961561</v>
      </c>
      <c r="AS109" t="str">
        <f t="shared" si="113"/>
        <v>-0,000272527472527473</v>
      </c>
      <c r="AT109" t="str">
        <f t="shared" si="114"/>
        <v>0,000114757992076071i</v>
      </c>
      <c r="AU109">
        <f t="shared" si="139"/>
        <v>0.000114757992076071</v>
      </c>
      <c r="AV109">
        <f t="shared" si="140"/>
        <v>1.5707963267949</v>
      </c>
      <c r="AW109" t="str">
        <f t="shared" si="115"/>
        <v>1+0,00587539870728384i</v>
      </c>
      <c r="AX109">
        <f t="shared" si="141"/>
        <v>1.00001726000603</v>
      </c>
      <c r="AY109">
        <f t="shared" si="142"/>
        <v>0.00587533110182257</v>
      </c>
      <c r="AZ109" t="str">
        <f t="shared" si="116"/>
        <v>1+0,280894061601421i</v>
      </c>
      <c r="BA109">
        <f t="shared" si="143"/>
        <v>1.03870182143045</v>
      </c>
      <c r="BB109">
        <f t="shared" si="144"/>
        <v>0.273837573542501</v>
      </c>
      <c r="BC109" s="30" t="str">
        <f t="shared" si="145"/>
        <v>-0,653092238089627+2,37863885861413i</v>
      </c>
      <c r="BD109" s="32">
        <f t="shared" si="146"/>
        <v>7.84221490103994</v>
      </c>
      <c r="BE109" s="31">
        <f t="shared" si="147"/>
        <v>105.353105560712</v>
      </c>
      <c r="BF109" s="30" t="str">
        <f t="shared" si="148"/>
        <v>63,9422180055623+185,043896842478i</v>
      </c>
      <c r="BG109" s="68">
        <f t="shared" si="149"/>
        <v>45.8353713104453</v>
      </c>
      <c r="BH109" s="31">
        <f t="shared" si="150"/>
        <v>70.9373267565585</v>
      </c>
      <c r="BI109" s="30" t="str">
        <f t="shared" si="103"/>
        <v>-62,5792598178919+572,89150907551i</v>
      </c>
      <c r="BJ109" s="68">
        <f t="shared" si="151"/>
        <v>55.2129613411706</v>
      </c>
      <c r="BK109" s="31">
        <f t="shared" si="104"/>
        <v>96.2339338610966</v>
      </c>
      <c r="BL109" s="32">
        <f t="shared" si="152"/>
        <v>45.8353713104453</v>
      </c>
      <c r="BM109" s="31">
        <f t="shared" si="153"/>
        <v>70.9373267565585</v>
      </c>
      <c r="BO109">
        <f t="shared" si="154"/>
        <v>0</v>
      </c>
      <c r="BP109">
        <f t="shared" si="155"/>
        <v>0</v>
      </c>
    </row>
    <row r="110" spans="14:68">
      <c r="N110" s="7">
        <v>92</v>
      </c>
      <c r="O110" s="18">
        <f t="shared" si="117"/>
        <v>83.1763771102671</v>
      </c>
      <c r="P110" s="86" t="str">
        <f t="shared" si="105"/>
        <v>96,0576923076923</v>
      </c>
      <c r="Q110" s="4" t="str">
        <f t="shared" si="106"/>
        <v>1+0,697607406465475i</v>
      </c>
      <c r="R110" s="4">
        <f t="shared" si="118"/>
        <v>1.21928507476943</v>
      </c>
      <c r="S110" s="4">
        <f t="shared" si="119"/>
        <v>0.609118391327657</v>
      </c>
      <c r="T110" s="4" t="str">
        <f t="shared" si="107"/>
        <v>1+0,00819456542003818i</v>
      </c>
      <c r="U110" s="4">
        <f t="shared" si="120"/>
        <v>1.00003357488758</v>
      </c>
      <c r="V110" s="4">
        <f t="shared" si="121"/>
        <v>0.00819438200327378</v>
      </c>
      <c r="W110" t="str">
        <f t="shared" si="108"/>
        <v>1-0,00389056039641836i</v>
      </c>
      <c r="X110" s="4">
        <f t="shared" si="122"/>
        <v>1.00000756820146</v>
      </c>
      <c r="Y110" s="4">
        <f t="shared" si="123"/>
        <v>-0.00389054076682577</v>
      </c>
      <c r="Z110" t="str">
        <f t="shared" si="109"/>
        <v>0,999999943524002+0,0066691606706258i</v>
      </c>
      <c r="AA110" s="4">
        <f t="shared" si="124"/>
        <v>1.00002218213001</v>
      </c>
      <c r="AB110" s="4">
        <f t="shared" si="125"/>
        <v>0.00666906217357697</v>
      </c>
      <c r="AC110" s="67" t="str">
        <f t="shared" si="126"/>
        <v>64,5076879117015-45,2282426221944i</v>
      </c>
      <c r="AD110" s="68">
        <f t="shared" si="127"/>
        <v>37.9287025153612</v>
      </c>
      <c r="AE110" s="31">
        <f t="shared" si="128"/>
        <v>-35.0354302241863</v>
      </c>
      <c r="AF110" s="32" t="str">
        <f t="shared" si="129"/>
        <v>236,914774604583</v>
      </c>
      <c r="AG110" s="32" t="str">
        <f t="shared" si="110"/>
        <v>1+0,172272113943984i</v>
      </c>
      <c r="AH110" s="32">
        <f t="shared" si="130"/>
        <v>1.01473034903009</v>
      </c>
      <c r="AI110" s="32">
        <f t="shared" si="131"/>
        <v>0.170597619097704</v>
      </c>
      <c r="AJ110" s="32" t="str">
        <f t="shared" si="111"/>
        <v>1+0,00819456542003818i</v>
      </c>
      <c r="AK110" s="32">
        <f t="shared" si="132"/>
        <v>1.00003357488758</v>
      </c>
      <c r="AL110" s="32">
        <f t="shared" si="133"/>
        <v>0.00819438200327378</v>
      </c>
      <c r="AM110" s="32" t="str">
        <f t="shared" si="112"/>
        <v>1-0,000389532426132537i</v>
      </c>
      <c r="AN110" s="32">
        <f t="shared" si="134"/>
        <v>1.00000007586775</v>
      </c>
      <c r="AO110" s="32">
        <f t="shared" si="135"/>
        <v>-0.000389532406430572</v>
      </c>
      <c r="AP110" s="30" t="str">
        <f t="shared" si="136"/>
        <v>230,39645152649-37,8417561171285i</v>
      </c>
      <c r="AQ110" s="32">
        <f t="shared" si="137"/>
        <v>47.3651221942174</v>
      </c>
      <c r="AR110" s="31">
        <f t="shared" si="138"/>
        <v>-9.32733862764531</v>
      </c>
      <c r="AS110" t="str">
        <f t="shared" si="113"/>
        <v>-0,000272527472527473</v>
      </c>
      <c r="AT110" t="str">
        <f t="shared" si="114"/>
        <v>0,000117431049099654i</v>
      </c>
      <c r="AU110">
        <f t="shared" si="139"/>
        <v>0.000117431049099654</v>
      </c>
      <c r="AV110">
        <f t="shared" si="140"/>
        <v>1.5707963267949</v>
      </c>
      <c r="AW110" t="str">
        <f t="shared" si="115"/>
        <v>1+0,00601225432401895i</v>
      </c>
      <c r="AX110">
        <f t="shared" si="141"/>
        <v>1.0000180734377</v>
      </c>
      <c r="AY110">
        <f t="shared" si="142"/>
        <v>0.00601218188353277</v>
      </c>
      <c r="AZ110" t="str">
        <f t="shared" si="116"/>
        <v>1+0,287436924810012i</v>
      </c>
      <c r="BA110">
        <f t="shared" si="143"/>
        <v>1.04049026220539</v>
      </c>
      <c r="BB110">
        <f t="shared" si="144"/>
        <v>0.279891561883425</v>
      </c>
      <c r="BC110" s="30" t="str">
        <f t="shared" si="145"/>
        <v>-0,653091175617434+2,32467114562158i</v>
      </c>
      <c r="BD110" s="32">
        <f t="shared" si="146"/>
        <v>7.65715037346659</v>
      </c>
      <c r="BE110" s="31">
        <f t="shared" si="147"/>
        <v>105.692132569653</v>
      </c>
      <c r="BF110" s="30" t="str">
        <f t="shared" si="148"/>
        <v>63,0113888563718+179,497326904334i</v>
      </c>
      <c r="BG110" s="68">
        <f t="shared" si="149"/>
        <v>45.5858528888278</v>
      </c>
      <c r="BH110" s="31">
        <f t="shared" si="150"/>
        <v>70.6567023454672</v>
      </c>
      <c r="BI110" s="30" t="str">
        <f t="shared" si="103"/>
        <v>-62,500250840383+560,310099907196i</v>
      </c>
      <c r="BJ110" s="68">
        <f t="shared" si="151"/>
        <v>55.022272567684</v>
      </c>
      <c r="BK110" s="31">
        <f t="shared" si="104"/>
        <v>96.3647939420082</v>
      </c>
      <c r="BL110" s="32">
        <f t="shared" si="152"/>
        <v>45.5858528888278</v>
      </c>
      <c r="BM110" s="31">
        <f t="shared" si="153"/>
        <v>70.6567023454672</v>
      </c>
      <c r="BO110">
        <f t="shared" si="154"/>
        <v>0</v>
      </c>
      <c r="BP110">
        <f t="shared" si="155"/>
        <v>0</v>
      </c>
    </row>
    <row r="111" spans="14:68">
      <c r="N111" s="7">
        <v>93</v>
      </c>
      <c r="O111" s="18">
        <f t="shared" si="117"/>
        <v>85.1138038202377</v>
      </c>
      <c r="P111" s="86" t="str">
        <f t="shared" si="105"/>
        <v>96,0576923076923</v>
      </c>
      <c r="Q111" s="4" t="str">
        <f t="shared" si="106"/>
        <v>1+0,713856770399272i</v>
      </c>
      <c r="R111" s="4">
        <f t="shared" si="118"/>
        <v>1.22865434058765</v>
      </c>
      <c r="S111" s="4">
        <f t="shared" si="119"/>
        <v>0.619965397943711</v>
      </c>
      <c r="T111" s="4" t="str">
        <f t="shared" si="107"/>
        <v>1+0,00838544136911126i</v>
      </c>
      <c r="U111" s="4">
        <f t="shared" si="120"/>
        <v>1.00003515719546</v>
      </c>
      <c r="V111" s="4">
        <f t="shared" si="121"/>
        <v>0.00838524483488046</v>
      </c>
      <c r="W111" t="str">
        <f t="shared" si="108"/>
        <v>1-0,00398118318969993i</v>
      </c>
      <c r="X111" s="4">
        <f t="shared" si="122"/>
        <v>1.00000792487839</v>
      </c>
      <c r="Y111" s="4">
        <f t="shared" si="123"/>
        <v>-0.00398116215622152</v>
      </c>
      <c r="Z111" t="str">
        <f t="shared" si="109"/>
        <v>0,999999940862371+0,00682450537864579i</v>
      </c>
      <c r="AA111" s="4">
        <f t="shared" si="124"/>
        <v>1.00002322752945</v>
      </c>
      <c r="AB111" s="4">
        <f t="shared" si="125"/>
        <v>0.00682439983728886</v>
      </c>
      <c r="AC111" s="67" t="str">
        <f t="shared" si="126"/>
        <v>63,522715308397-45,5786148669079i</v>
      </c>
      <c r="AD111" s="68">
        <f t="shared" si="127"/>
        <v>37.8622210443138</v>
      </c>
      <c r="AE111" s="31">
        <f t="shared" si="128"/>
        <v>-35.6600747045958</v>
      </c>
      <c r="AF111" s="32" t="str">
        <f t="shared" si="129"/>
        <v>236,914774604583</v>
      </c>
      <c r="AG111" s="32" t="str">
        <f t="shared" si="110"/>
        <v>1+0,176284846964271i</v>
      </c>
      <c r="AH111" s="32">
        <f t="shared" si="130"/>
        <v>1.01541929628564</v>
      </c>
      <c r="AI111" s="32">
        <f t="shared" si="131"/>
        <v>0.174492061648672</v>
      </c>
      <c r="AJ111" s="32" t="str">
        <f t="shared" si="111"/>
        <v>1+0,00838544136911126i</v>
      </c>
      <c r="AK111" s="32">
        <f t="shared" si="132"/>
        <v>1.00003515719546</v>
      </c>
      <c r="AL111" s="32">
        <f t="shared" si="133"/>
        <v>0.00838524483488046</v>
      </c>
      <c r="AM111" s="32" t="str">
        <f t="shared" si="112"/>
        <v>1-0,000398605801927545i</v>
      </c>
      <c r="AN111" s="32">
        <f t="shared" si="134"/>
        <v>1.00000007944329</v>
      </c>
      <c r="AO111" s="32">
        <f t="shared" si="135"/>
        <v>-0.000398605780816509</v>
      </c>
      <c r="AP111" s="30" t="str">
        <f t="shared" si="136"/>
        <v>230,098511317493-38,6706815061076i</v>
      </c>
      <c r="AQ111" s="32">
        <f t="shared" si="137"/>
        <v>47.3592407183471</v>
      </c>
      <c r="AR111" s="31">
        <f t="shared" si="138"/>
        <v>-9.54005798071326</v>
      </c>
      <c r="AS111" t="str">
        <f t="shared" si="113"/>
        <v>-0,000272527472527473</v>
      </c>
      <c r="AT111" t="str">
        <f t="shared" si="114"/>
        <v>0,000120166369619853i</v>
      </c>
      <c r="AU111">
        <f t="shared" si="139"/>
        <v>0.000120166369619853</v>
      </c>
      <c r="AV111">
        <f t="shared" si="140"/>
        <v>1.5707963267949</v>
      </c>
      <c r="AW111" t="str">
        <f t="shared" si="115"/>
        <v>1+0,00615229771757825i</v>
      </c>
      <c r="AX111">
        <f t="shared" si="141"/>
        <v>1.00001892520452</v>
      </c>
      <c r="AY111">
        <f t="shared" si="142"/>
        <v>0.00615222009627816</v>
      </c>
      <c r="AZ111" t="str">
        <f t="shared" si="116"/>
        <v>1+0,294132190880815i</v>
      </c>
      <c r="BA111">
        <f t="shared" si="143"/>
        <v>1.04235970073308</v>
      </c>
      <c r="BB111">
        <f t="shared" si="144"/>
        <v>0.286064827538998</v>
      </c>
      <c r="BC111" s="30" t="str">
        <f t="shared" si="145"/>
        <v>-0,653090063076179+2,27193600343887i</v>
      </c>
      <c r="BD111" s="32">
        <f t="shared" si="146"/>
        <v>7.47273482429025</v>
      </c>
      <c r="BE111" s="31">
        <f t="shared" si="147"/>
        <v>106.03781103897</v>
      </c>
      <c r="BF111" s="30" t="str">
        <f t="shared" si="148"/>
        <v>62,065641955471+174,086484403698i</v>
      </c>
      <c r="BG111" s="68">
        <f t="shared" si="149"/>
        <v>45.334955868604</v>
      </c>
      <c r="BH111" s="31">
        <f t="shared" si="150"/>
        <v>70.3777363343742</v>
      </c>
      <c r="BI111" s="30" t="str">
        <f t="shared" si="103"/>
        <v>-62,4177376788329+548,024530023921i</v>
      </c>
      <c r="BJ111" s="68">
        <f t="shared" si="151"/>
        <v>54.8319755426373</v>
      </c>
      <c r="BK111" s="31">
        <f t="shared" si="104"/>
        <v>96.4977530582568</v>
      </c>
      <c r="BL111" s="32">
        <f t="shared" si="152"/>
        <v>45.334955868604</v>
      </c>
      <c r="BM111" s="31">
        <f t="shared" si="153"/>
        <v>70.3777363343742</v>
      </c>
      <c r="BO111">
        <f t="shared" si="154"/>
        <v>0</v>
      </c>
      <c r="BP111">
        <f t="shared" si="155"/>
        <v>0</v>
      </c>
    </row>
    <row r="112" spans="14:68">
      <c r="N112" s="7">
        <v>94</v>
      </c>
      <c r="O112" s="18">
        <f t="shared" si="117"/>
        <v>87.0963589956081</v>
      </c>
      <c r="P112" s="86" t="str">
        <f t="shared" si="105"/>
        <v>96,0576923076923</v>
      </c>
      <c r="Q112" s="4" t="str">
        <f t="shared" si="106"/>
        <v>1+0,730484630641746i</v>
      </c>
      <c r="R112" s="4">
        <f t="shared" si="118"/>
        <v>1.23838919391434</v>
      </c>
      <c r="S112" s="4">
        <f t="shared" si="119"/>
        <v>0.630893837065389</v>
      </c>
      <c r="T112" s="4" t="str">
        <f t="shared" si="107"/>
        <v>1+0,00858076339019268i</v>
      </c>
      <c r="U112" s="4">
        <f t="shared" si="120"/>
        <v>1.00003681407254</v>
      </c>
      <c r="V112" s="4">
        <f t="shared" si="121"/>
        <v>0.00858055280038894</v>
      </c>
      <c r="W112" t="str">
        <f t="shared" si="108"/>
        <v>1-0,00407391685900588i</v>
      </c>
      <c r="X112" s="4">
        <f t="shared" si="122"/>
        <v>1.00000829836486</v>
      </c>
      <c r="Y112" s="4">
        <f t="shared" si="123"/>
        <v>-0.00407389432123781</v>
      </c>
      <c r="Z112" t="str">
        <f t="shared" si="109"/>
        <v>0,9999999380753+0,00698346852975055i</v>
      </c>
      <c r="AA112" s="4">
        <f t="shared" si="124"/>
        <v>1.00002432219587</v>
      </c>
      <c r="AB112" s="4">
        <f t="shared" si="125"/>
        <v>0.00698335544029765</v>
      </c>
      <c r="AC112" s="67" t="str">
        <f t="shared" si="126"/>
        <v>62,5228986497204-45,9099270242717i</v>
      </c>
      <c r="AD112" s="68">
        <f t="shared" si="127"/>
        <v>37.7936804819473</v>
      </c>
      <c r="AE112" s="31">
        <f t="shared" si="128"/>
        <v>-36.2894584676675</v>
      </c>
      <c r="AF112" s="32" t="str">
        <f t="shared" si="129"/>
        <v>236,914774604583</v>
      </c>
      <c r="AG112" s="32" t="str">
        <f t="shared" si="110"/>
        <v>1+0,180391048543823i</v>
      </c>
      <c r="AH112" s="32">
        <f t="shared" si="130"/>
        <v>1.01614021197605</v>
      </c>
      <c r="AI112" s="32">
        <f t="shared" si="131"/>
        <v>0.178471688585096</v>
      </c>
      <c r="AJ112" s="32" t="str">
        <f t="shared" si="111"/>
        <v>1+0,00858076339019268i</v>
      </c>
      <c r="AK112" s="32">
        <f t="shared" si="132"/>
        <v>1.00003681407254</v>
      </c>
      <c r="AL112" s="32">
        <f t="shared" si="133"/>
        <v>0.00858055280038894</v>
      </c>
      <c r="AM112" s="32" t="str">
        <f t="shared" si="112"/>
        <v>1-0,000407890523794907i</v>
      </c>
      <c r="AN112" s="32">
        <f t="shared" si="134"/>
        <v>1.00000008318734</v>
      </c>
      <c r="AO112" s="32">
        <f t="shared" si="135"/>
        <v>-0.000407890501174024</v>
      </c>
      <c r="AP112" s="30" t="str">
        <f t="shared" si="136"/>
        <v>229,787394748264-39,5153147477782i</v>
      </c>
      <c r="AQ112" s="32">
        <f t="shared" si="137"/>
        <v>47.3530906220194</v>
      </c>
      <c r="AR112" s="31">
        <f t="shared" si="138"/>
        <v>-9.75741546136846</v>
      </c>
      <c r="AS112" t="str">
        <f t="shared" si="113"/>
        <v>-0,000272527472527473</v>
      </c>
      <c r="AT112" t="str">
        <f t="shared" si="114"/>
        <v>0,000122965403939815i</v>
      </c>
      <c r="AU112">
        <f t="shared" si="139"/>
        <v>0.000122965403939815</v>
      </c>
      <c r="AV112">
        <f t="shared" si="140"/>
        <v>1.5707963267949</v>
      </c>
      <c r="AW112" t="str">
        <f t="shared" si="115"/>
        <v>1+0,0062956031408227i</v>
      </c>
      <c r="AX112">
        <f t="shared" si="141"/>
        <v>1.00001981711309</v>
      </c>
      <c r="AY112">
        <f t="shared" si="142"/>
        <v>0.00629551996819018</v>
      </c>
      <c r="AZ112" t="str">
        <f t="shared" si="116"/>
        <v>1+0,300983409732523i</v>
      </c>
      <c r="BA112">
        <f t="shared" si="143"/>
        <v>1.04431365639554</v>
      </c>
      <c r="BB112">
        <f t="shared" si="144"/>
        <v>0.292358760867851</v>
      </c>
      <c r="BC112" s="30" t="str">
        <f t="shared" si="145"/>
        <v>-0,653088898106529+2,2204054711525i</v>
      </c>
      <c r="BD112" s="32">
        <f t="shared" si="146"/>
        <v>7.28899397242325</v>
      </c>
      <c r="BE112" s="31">
        <f t="shared" si="147"/>
        <v>106.390216377385</v>
      </c>
      <c r="BF112" s="30" t="str">
        <f t="shared" si="148"/>
        <v>61,1056421593328+168,809449886585i</v>
      </c>
      <c r="BG112" s="68">
        <f t="shared" si="149"/>
        <v>45.0826744543705</v>
      </c>
      <c r="BH112" s="31">
        <f t="shared" si="150"/>
        <v>70.1007579097172</v>
      </c>
      <c r="BI112" s="30" t="str">
        <f t="shared" si="103"/>
        <v>-62,331575374634+536,028201867884i</v>
      </c>
      <c r="BJ112" s="68">
        <f t="shared" si="151"/>
        <v>54.6420845944426</v>
      </c>
      <c r="BK112" s="31">
        <f t="shared" si="104"/>
        <v>96.6328009160163</v>
      </c>
      <c r="BL112" s="32">
        <f t="shared" si="152"/>
        <v>45.0826744543705</v>
      </c>
      <c r="BM112" s="31">
        <f t="shared" si="153"/>
        <v>70.1007579097172</v>
      </c>
      <c r="BO112">
        <f t="shared" si="154"/>
        <v>0</v>
      </c>
      <c r="BP112">
        <f t="shared" si="155"/>
        <v>0</v>
      </c>
    </row>
    <row r="113" spans="14:68">
      <c r="N113" s="7">
        <v>95</v>
      </c>
      <c r="O113" s="18">
        <f t="shared" si="117"/>
        <v>89.1250938133746</v>
      </c>
      <c r="P113" s="86" t="str">
        <f t="shared" si="105"/>
        <v>96,0576923076923</v>
      </c>
      <c r="Q113" s="4" t="str">
        <f t="shared" si="106"/>
        <v>1+0,747499803504495i</v>
      </c>
      <c r="R113" s="4">
        <f t="shared" si="118"/>
        <v>1.24850148427595</v>
      </c>
      <c r="S113" s="4">
        <f t="shared" si="119"/>
        <v>0.641899061797602</v>
      </c>
      <c r="T113" s="4" t="str">
        <f t="shared" si="107"/>
        <v>1+0,00878063504560343i</v>
      </c>
      <c r="U113" s="4">
        <f t="shared" si="120"/>
        <v>1.00003854903289</v>
      </c>
      <c r="V113" s="4">
        <f t="shared" si="121"/>
        <v>0.00878040939503301</v>
      </c>
      <c r="W113" t="str">
        <f t="shared" si="108"/>
        <v>1-0,00416881057295515i</v>
      </c>
      <c r="X113" s="4">
        <f t="shared" si="122"/>
        <v>1.00000868945304</v>
      </c>
      <c r="Y113" s="4">
        <f t="shared" si="123"/>
        <v>-0.0041687864233129</v>
      </c>
      <c r="Z113" t="str">
        <f t="shared" si="109"/>
        <v>0,999999935156879+0,00714613440830693i</v>
      </c>
      <c r="AA113" s="4">
        <f t="shared" si="124"/>
        <v>1.00002546845105</v>
      </c>
      <c r="AB113" s="4">
        <f t="shared" si="125"/>
        <v>0.0071460132309416</v>
      </c>
      <c r="AC113" s="67" t="str">
        <f t="shared" si="126"/>
        <v>61,5089833147701-46,2214056604491i</v>
      </c>
      <c r="AD113" s="68">
        <f t="shared" si="127"/>
        <v>37.7230508067616</v>
      </c>
      <c r="AE113" s="31">
        <f t="shared" si="128"/>
        <v>-36.9233169799022</v>
      </c>
      <c r="AF113" s="32" t="str">
        <f t="shared" si="129"/>
        <v>236,914774604583</v>
      </c>
      <c r="AG113" s="32" t="str">
        <f t="shared" si="110"/>
        <v>1+0,184592895845072i</v>
      </c>
      <c r="AH113" s="32">
        <f t="shared" si="130"/>
        <v>1.01689455559388</v>
      </c>
      <c r="AI113" s="32">
        <f t="shared" si="131"/>
        <v>0.182538105491622</v>
      </c>
      <c r="AJ113" s="32" t="str">
        <f t="shared" si="111"/>
        <v>1+0,00878063504560343i</v>
      </c>
      <c r="AK113" s="32">
        <f t="shared" si="132"/>
        <v>1.00003854903289</v>
      </c>
      <c r="AL113" s="32">
        <f t="shared" si="133"/>
        <v>0.00878040939503301</v>
      </c>
      <c r="AM113" s="32" t="str">
        <f t="shared" si="112"/>
        <v>1-0,000417391514617055i</v>
      </c>
      <c r="AN113" s="32">
        <f t="shared" si="134"/>
        <v>1.00000008710783</v>
      </c>
      <c r="AO113" s="32">
        <f t="shared" si="135"/>
        <v>-0.000417391490378343</v>
      </c>
      <c r="AP113" s="30" t="str">
        <f t="shared" si="136"/>
        <v>229,462560268782-40,3757825319319i</v>
      </c>
      <c r="AQ113" s="32">
        <f t="shared" si="137"/>
        <v>47.3466600452338</v>
      </c>
      <c r="AR113" s="31">
        <f t="shared" si="138"/>
        <v>-9.97949741505465</v>
      </c>
      <c r="AS113" t="str">
        <f t="shared" si="113"/>
        <v>-0,000272527472527473</v>
      </c>
      <c r="AT113" t="str">
        <f t="shared" si="114"/>
        <v>0,000125829636144585i</v>
      </c>
      <c r="AU113">
        <f t="shared" si="139"/>
        <v>0.000125829636144585</v>
      </c>
      <c r="AV113">
        <f t="shared" si="140"/>
        <v>1.5707963267949</v>
      </c>
      <c r="AW113" t="str">
        <f t="shared" si="115"/>
        <v>1+0,00644224657618459i</v>
      </c>
      <c r="AX113">
        <f t="shared" si="141"/>
        <v>1.00002075105517</v>
      </c>
      <c r="AY113">
        <f t="shared" si="142"/>
        <v>0.00644215745520305</v>
      </c>
      <c r="AZ113" t="str">
        <f t="shared" si="116"/>
        <v>1+0,307994213972059i</v>
      </c>
      <c r="BA113">
        <f t="shared" si="143"/>
        <v>1.04635578836277</v>
      </c>
      <c r="BB113">
        <f t="shared" si="144"/>
        <v>0.298774703643499</v>
      </c>
      <c r="BC113" s="30" t="str">
        <f t="shared" si="145"/>
        <v>-0,653087678238011+2,17005222654602i</v>
      </c>
      <c r="BD113" s="32">
        <f t="shared" si="146"/>
        <v>7.10595433779613</v>
      </c>
      <c r="BE113" s="31">
        <f t="shared" si="147"/>
        <v>106.749421110903</v>
      </c>
      <c r="BF113" s="30" t="str">
        <f t="shared" si="148"/>
        <v>60,1321051637206+163,664336702479i</v>
      </c>
      <c r="BG113" s="68">
        <f t="shared" si="149"/>
        <v>44.8290051445577</v>
      </c>
      <c r="BH113" s="31">
        <f t="shared" si="150"/>
        <v>69.8261041310004</v>
      </c>
      <c r="BI113" s="30" t="str">
        <f t="shared" si="103"/>
        <v>-62,2416139465318+524,314665891043i</v>
      </c>
      <c r="BJ113" s="68">
        <f t="shared" si="151"/>
        <v>54.4526143830299</v>
      </c>
      <c r="BK113" s="31">
        <f t="shared" si="104"/>
        <v>96.7699236958479</v>
      </c>
      <c r="BL113" s="32">
        <f t="shared" si="152"/>
        <v>44.8290051445577</v>
      </c>
      <c r="BM113" s="31">
        <f t="shared" si="153"/>
        <v>69.8261041310004</v>
      </c>
      <c r="BO113">
        <f t="shared" si="154"/>
        <v>0</v>
      </c>
      <c r="BP113">
        <f t="shared" si="155"/>
        <v>0</v>
      </c>
    </row>
    <row r="114" spans="14:68">
      <c r="N114" s="7">
        <v>96</v>
      </c>
      <c r="O114" s="18">
        <f t="shared" si="117"/>
        <v>91.201083935591</v>
      </c>
      <c r="P114" s="86" t="str">
        <f t="shared" si="105"/>
        <v>96,0576923076923</v>
      </c>
      <c r="Q114" s="4" t="str">
        <f t="shared" si="106"/>
        <v>1+0,76491131065739i</v>
      </c>
      <c r="R114" s="4">
        <f t="shared" si="118"/>
        <v>1.25900330149353</v>
      </c>
      <c r="S114" s="4">
        <f t="shared" si="119"/>
        <v>0.652976244409189</v>
      </c>
      <c r="T114" s="4" t="str">
        <f t="shared" si="107"/>
        <v>1+0,00898516230994079i</v>
      </c>
      <c r="U114" s="4">
        <f t="shared" si="120"/>
        <v>1.00004036575617</v>
      </c>
      <c r="V114" s="4">
        <f t="shared" si="121"/>
        <v>0.00898492052152546</v>
      </c>
      <c r="W114" t="str">
        <f t="shared" si="108"/>
        <v>1-0,00426591464545092i</v>
      </c>
      <c r="X114" s="4">
        <f t="shared" si="122"/>
        <v>1.00000909897249</v>
      </c>
      <c r="Y114" s="4">
        <f t="shared" si="123"/>
        <v>-0.00426588876865575</v>
      </c>
      <c r="Z114" t="str">
        <f t="shared" si="109"/>
        <v>0,999999932100917+0,00731258926191685i</v>
      </c>
      <c r="AA114" s="4">
        <f t="shared" si="124"/>
        <v>1.00002666872617</v>
      </c>
      <c r="AB114" s="4">
        <f t="shared" si="125"/>
        <v>0.00731245941821756</v>
      </c>
      <c r="AC114" s="67" t="str">
        <f t="shared" si="126"/>
        <v>60,4817661394858-46,5123110849153i</v>
      </c>
      <c r="AD114" s="68">
        <f t="shared" si="127"/>
        <v>37.6503035985001</v>
      </c>
      <c r="AE114" s="31">
        <f t="shared" si="128"/>
        <v>-37.5613753866463</v>
      </c>
      <c r="AF114" s="32" t="str">
        <f t="shared" si="129"/>
        <v>236,914774604583</v>
      </c>
      <c r="AG114" s="32" t="str">
        <f t="shared" si="110"/>
        <v>1+0,188892616743073i</v>
      </c>
      <c r="AH114" s="32">
        <f t="shared" si="130"/>
        <v>1.01768385103629</v>
      </c>
      <c r="AI114" s="32">
        <f t="shared" si="131"/>
        <v>0.186692930241876</v>
      </c>
      <c r="AJ114" s="32" t="str">
        <f t="shared" si="111"/>
        <v>1+0,00898516230994079i</v>
      </c>
      <c r="AK114" s="32">
        <f t="shared" si="132"/>
        <v>1.00004036575617</v>
      </c>
      <c r="AL114" s="32">
        <f t="shared" si="133"/>
        <v>0.00898492052152546</v>
      </c>
      <c r="AM114" s="32" t="str">
        <f t="shared" si="112"/>
        <v>1-0,000427113811945083i</v>
      </c>
      <c r="AN114" s="32">
        <f t="shared" si="134"/>
        <v>1.0000000912131</v>
      </c>
      <c r="AO114" s="32">
        <f t="shared" si="135"/>
        <v>-0.000427113785972835</v>
      </c>
      <c r="AP114" s="30" t="str">
        <f t="shared" si="136"/>
        <v>229,123447899363-41,2521994999482i</v>
      </c>
      <c r="AQ114" s="32">
        <f t="shared" si="137"/>
        <v>47.3399366423842</v>
      </c>
      <c r="AR114" s="31">
        <f t="shared" si="138"/>
        <v>-10.206390759954</v>
      </c>
      <c r="AS114" t="str">
        <f t="shared" si="113"/>
        <v>-0,000272527472527473</v>
      </c>
      <c r="AT114" t="str">
        <f t="shared" si="114"/>
        <v>0,000128760584887991i</v>
      </c>
      <c r="AU114">
        <f t="shared" si="139"/>
        <v>0.000128760584887991</v>
      </c>
      <c r="AV114">
        <f t="shared" si="140"/>
        <v>1.5707963267949</v>
      </c>
      <c r="AW114" t="str">
        <f t="shared" si="115"/>
        <v>1+0,00659230577595437i</v>
      </c>
      <c r="AX114">
        <f t="shared" si="141"/>
        <v>1.00002172901165</v>
      </c>
      <c r="AY114">
        <f t="shared" si="142"/>
        <v>0.00659221028121422</v>
      </c>
      <c r="AZ114" t="str">
        <f t="shared" si="116"/>
        <v>1+0,315168320820627i</v>
      </c>
      <c r="BA114">
        <f t="shared" si="143"/>
        <v>1.04848990002236</v>
      </c>
      <c r="BB114">
        <f t="shared" si="144"/>
        <v>0.305313944041599</v>
      </c>
      <c r="BC114" s="30" t="str">
        <f t="shared" si="145"/>
        <v>-0,653086400883744+2,1208495716132i</v>
      </c>
      <c r="BD114" s="32">
        <f t="shared" si="146"/>
        <v>6.9236432471065</v>
      </c>
      <c r="BE114" s="31">
        <f t="shared" si="147"/>
        <v>107.115494593301</v>
      </c>
      <c r="BF114" s="30" t="str">
        <f t="shared" si="148"/>
        <v>59,1457960720534+158,649285650571i</v>
      </c>
      <c r="BG114" s="68">
        <f t="shared" si="149"/>
        <v>44.5739468456066</v>
      </c>
      <c r="BH114" s="31">
        <f t="shared" si="150"/>
        <v>69.5541192066545</v>
      </c>
      <c r="BI114" s="30" t="str">
        <f t="shared" ref="BI114:BI177" si="156">IMPRODUCT(AP114,BC114)</f>
        <v>-62,1476983091016+512,877616823863i</v>
      </c>
      <c r="BJ114" s="68">
        <f t="shared" si="151"/>
        <v>54.2635798894907</v>
      </c>
      <c r="BK114" s="31">
        <f t="shared" ref="BK114:BK177" si="157">(180/PI())*IMARGUMENT(BI114)</f>
        <v>96.9091038333467</v>
      </c>
      <c r="BL114" s="32">
        <f t="shared" si="152"/>
        <v>44.5739468456066</v>
      </c>
      <c r="BM114" s="31">
        <f t="shared" si="153"/>
        <v>69.5541192066545</v>
      </c>
      <c r="BO114">
        <f t="shared" si="154"/>
        <v>0</v>
      </c>
      <c r="BP114">
        <f t="shared" si="155"/>
        <v>0</v>
      </c>
    </row>
    <row r="115" spans="14:68">
      <c r="N115" s="7">
        <v>97</v>
      </c>
      <c r="O115" s="18">
        <f t="shared" si="117"/>
        <v>93.3254300796992</v>
      </c>
      <c r="P115" s="86" t="str">
        <f t="shared" si="105"/>
        <v>96,0576923076923</v>
      </c>
      <c r="Q115" s="4" t="str">
        <f t="shared" si="106"/>
        <v>1+0,782728383911995i</v>
      </c>
      <c r="R115" s="4">
        <f t="shared" si="118"/>
        <v>1.26990697414475</v>
      </c>
      <c r="S115" s="4">
        <f t="shared" si="119"/>
        <v>0.664120384880092</v>
      </c>
      <c r="T115" s="4" t="str">
        <f t="shared" si="107"/>
        <v>1+0,00919445362626756i</v>
      </c>
      <c r="U115" s="4">
        <f t="shared" si="120"/>
        <v>1.00004226809545</v>
      </c>
      <c r="V115" s="4">
        <f t="shared" si="121"/>
        <v>0.00919419454590416</v>
      </c>
      <c r="W115" t="str">
        <f t="shared" si="108"/>
        <v>1-0,00436528056235776i</v>
      </c>
      <c r="X115" s="4">
        <f t="shared" si="122"/>
        <v>1.0000095277918</v>
      </c>
      <c r="Y115" s="4">
        <f t="shared" si="123"/>
        <v>-0.00436525283488644</v>
      </c>
      <c r="Z115" t="str">
        <f t="shared" si="109"/>
        <v>0,999999928900931+0,00748292134714701i</v>
      </c>
      <c r="AA115" s="4">
        <f t="shared" si="124"/>
        <v>1.00002792556696</v>
      </c>
      <c r="AB115" s="4">
        <f t="shared" si="125"/>
        <v>0.00748278221732639</v>
      </c>
      <c r="AC115" s="67" t="str">
        <f t="shared" si="126"/>
        <v>59,4420935513428-46,7819414023373i</v>
      </c>
      <c r="AD115" s="68">
        <f t="shared" si="127"/>
        <v>37.5754121430959</v>
      </c>
      <c r="AE115" s="31">
        <f t="shared" si="128"/>
        <v>-38.2033490027455</v>
      </c>
      <c r="AF115" s="32" t="str">
        <f t="shared" si="129"/>
        <v>236,914774604583</v>
      </c>
      <c r="AG115" s="32" t="str">
        <f t="shared" si="110"/>
        <v>1+0,193292491006761i</v>
      </c>
      <c r="AH115" s="32">
        <f t="shared" si="130"/>
        <v>1.01850968924188</v>
      </c>
      <c r="AI115" s="32">
        <f t="shared" si="131"/>
        <v>0.190937791715284</v>
      </c>
      <c r="AJ115" s="32" t="str">
        <f t="shared" si="111"/>
        <v>1+0,00919445362626756i</v>
      </c>
      <c r="AK115" s="32">
        <f t="shared" si="132"/>
        <v>1.00004226809545</v>
      </c>
      <c r="AL115" s="32">
        <f t="shared" si="133"/>
        <v>0.00919419454590416</v>
      </c>
      <c r="AM115" s="32" t="str">
        <f t="shared" si="112"/>
        <v>1-0,000437062570669723i</v>
      </c>
      <c r="AN115" s="32">
        <f t="shared" si="134"/>
        <v>1.00000009551184</v>
      </c>
      <c r="AO115" s="32">
        <f t="shared" si="135"/>
        <v>-0.000437062542839958</v>
      </c>
      <c r="AP115" s="30" t="str">
        <f t="shared" si="136"/>
        <v>228,769478967033-42,1446671277954i</v>
      </c>
      <c r="AQ115" s="32">
        <f t="shared" si="137"/>
        <v>47.3329075659096</v>
      </c>
      <c r="AR115" s="31">
        <f t="shared" si="138"/>
        <v>-10.4381829104192</v>
      </c>
      <c r="AS115" t="str">
        <f t="shared" si="113"/>
        <v>-0,000272527472527473</v>
      </c>
      <c r="AT115" t="str">
        <f t="shared" si="114"/>
        <v>0,000131759804197852i</v>
      </c>
      <c r="AU115">
        <f t="shared" si="139"/>
        <v>0.000131759804197852</v>
      </c>
      <c r="AV115">
        <f t="shared" si="140"/>
        <v>1.5707963267949</v>
      </c>
      <c r="AW115" t="str">
        <f t="shared" si="115"/>
        <v>1+0,00674586030350605i</v>
      </c>
      <c r="AX115">
        <f t="shared" si="141"/>
        <v>1.00002275305677</v>
      </c>
      <c r="AY115">
        <f t="shared" si="142"/>
        <v>0.00674575797917417</v>
      </c>
      <c r="AZ115" t="str">
        <f t="shared" si="116"/>
        <v>1+0,32250953408464i</v>
      </c>
      <c r="BA115">
        <f t="shared" si="143"/>
        <v>1.05071994345567</v>
      </c>
      <c r="BB115">
        <f t="shared" si="144"/>
        <v>0.311977711416962</v>
      </c>
      <c r="BC115" s="30" t="str">
        <f t="shared" si="145"/>
        <v>-0,65308506333498+2,07277141840213i</v>
      </c>
      <c r="BD115" s="32">
        <f t="shared" si="146"/>
        <v>6.74208883770651</v>
      </c>
      <c r="BE115" s="31">
        <f t="shared" si="147"/>
        <v>107.488502704519</v>
      </c>
      <c r="BF115" s="30" t="str">
        <f t="shared" si="148"/>
        <v>58,1475276043855+153,762459726888i</v>
      </c>
      <c r="BG115" s="68">
        <f t="shared" si="149"/>
        <v>44.3175009808024</v>
      </c>
      <c r="BH115" s="31">
        <f t="shared" si="150"/>
        <v>69.2851537017735</v>
      </c>
      <c r="BI115" s="30" t="str">
        <f t="shared" si="156"/>
        <v>-62,049668199729+501,710890006001i</v>
      </c>
      <c r="BJ115" s="68">
        <f t="shared" si="151"/>
        <v>54.0749964036161</v>
      </c>
      <c r="BK115" s="31">
        <f t="shared" si="157"/>
        <v>97.0503197940997</v>
      </c>
      <c r="BL115" s="32">
        <f t="shared" si="152"/>
        <v>44.3175009808024</v>
      </c>
      <c r="BM115" s="31">
        <f t="shared" si="153"/>
        <v>69.2851537017735</v>
      </c>
      <c r="BO115">
        <f t="shared" si="154"/>
        <v>0</v>
      </c>
      <c r="BP115">
        <f t="shared" si="155"/>
        <v>0</v>
      </c>
    </row>
    <row r="116" spans="14:68">
      <c r="N116" s="7">
        <v>98</v>
      </c>
      <c r="O116" s="18">
        <f t="shared" si="117"/>
        <v>95.4992586021437</v>
      </c>
      <c r="P116" s="86" t="str">
        <f t="shared" si="105"/>
        <v>96,0576923076923</v>
      </c>
      <c r="Q116" s="4" t="str">
        <f t="shared" si="106"/>
        <v>1+0,800960470116383i</v>
      </c>
      <c r="R116" s="4">
        <f t="shared" si="118"/>
        <v>1.28122506792876</v>
      </c>
      <c r="S116" s="4">
        <f t="shared" si="119"/>
        <v>0.675326320404087</v>
      </c>
      <c r="T116" s="4" t="str">
        <f t="shared" si="107"/>
        <v>1+0,00940861996360996i</v>
      </c>
      <c r="U116" s="4">
        <f t="shared" si="120"/>
        <v>1.00004426008533</v>
      </c>
      <c r="V116" s="4">
        <f t="shared" si="121"/>
        <v>0.00940834235466254</v>
      </c>
      <c r="W116" t="str">
        <f t="shared" si="108"/>
        <v>1-0,00446696100880009i</v>
      </c>
      <c r="X116" s="4">
        <f t="shared" si="122"/>
        <v>1.00000997682056</v>
      </c>
      <c r="Y116" s="4">
        <f t="shared" si="123"/>
        <v>-0.0044669312982953</v>
      </c>
      <c r="Z116" t="str">
        <f t="shared" si="109"/>
        <v>0,999999925550136+0,00765722097632359i</v>
      </c>
      <c r="AA116" s="4">
        <f t="shared" si="124"/>
        <v>1.00002924163914</v>
      </c>
      <c r="AB116" s="4">
        <f t="shared" si="125"/>
        <v>0.0076570718962703</v>
      </c>
      <c r="AC116" s="67" t="str">
        <f t="shared" si="126"/>
        <v>58,3908593317116-47,029636453751i</v>
      </c>
      <c r="AD116" s="68">
        <f t="shared" si="127"/>
        <v>37.4983515333629</v>
      </c>
      <c r="AE116" s="31">
        <f t="shared" si="128"/>
        <v>-38.8489438579691</v>
      </c>
      <c r="AF116" s="32" t="str">
        <f t="shared" si="129"/>
        <v>236,914774604583</v>
      </c>
      <c r="AG116" s="32" t="str">
        <f t="shared" si="110"/>
        <v>1+0,197794851507709i</v>
      </c>
      <c r="AH116" s="32">
        <f t="shared" si="130"/>
        <v>1.01937373091666</v>
      </c>
      <c r="AI116" s="32">
        <f t="shared" si="131"/>
        <v>0.19527432839708</v>
      </c>
      <c r="AJ116" s="32" t="str">
        <f t="shared" si="111"/>
        <v>1+0,00940861996360996i</v>
      </c>
      <c r="AK116" s="32">
        <f t="shared" si="132"/>
        <v>1.00004426008533</v>
      </c>
      <c r="AL116" s="32">
        <f t="shared" si="133"/>
        <v>0.00940834235466254</v>
      </c>
      <c r="AM116" s="32" t="str">
        <f t="shared" si="112"/>
        <v>1-0,000447243065754539i</v>
      </c>
      <c r="AN116" s="32">
        <f t="shared" si="134"/>
        <v>1.00000010001317</v>
      </c>
      <c r="AO116" s="32">
        <f t="shared" si="135"/>
        <v>-0.000447243035934408</v>
      </c>
      <c r="AP116" s="30" t="str">
        <f t="shared" si="136"/>
        <v>228,400055877066-43,0532725486546i</v>
      </c>
      <c r="AQ116" s="32">
        <f t="shared" si="137"/>
        <v>47.32555944973</v>
      </c>
      <c r="AR116" s="31">
        <f t="shared" si="138"/>
        <v>-10.6749616936437</v>
      </c>
      <c r="AS116" t="str">
        <f t="shared" si="113"/>
        <v>-0,000272527472527473</v>
      </c>
      <c r="AT116" t="str">
        <f t="shared" si="114"/>
        <v>0,000134828884299946i</v>
      </c>
      <c r="AU116">
        <f t="shared" si="139"/>
        <v>0.000134828884299946</v>
      </c>
      <c r="AV116">
        <f t="shared" si="140"/>
        <v>1.5707963267949</v>
      </c>
      <c r="AW116" t="str">
        <f t="shared" si="115"/>
        <v>1+0,00690299157548266i</v>
      </c>
      <c r="AX116">
        <f t="shared" si="141"/>
        <v>1.00002382536252</v>
      </c>
      <c r="AY116">
        <f t="shared" si="142"/>
        <v>0.00690288193312673</v>
      </c>
      <c r="AZ116" t="str">
        <f t="shared" si="116"/>
        <v>1+0,330021746172543i</v>
      </c>
      <c r="BA116">
        <f t="shared" si="143"/>
        <v>1.0530500239527</v>
      </c>
      <c r="BB116">
        <f t="shared" si="144"/>
        <v>0.318767170874077</v>
      </c>
      <c r="BC116" s="30" t="str">
        <f t="shared" si="145"/>
        <v>-0,653083662755356+2,02579227518281i</v>
      </c>
      <c r="BD116" s="32">
        <f t="shared" si="146"/>
        <v>6.56132005944634</v>
      </c>
      <c r="BE116" s="31">
        <f t="shared" si="147"/>
        <v>107.868507537165</v>
      </c>
      <c r="BF116" s="30" t="str">
        <f t="shared" si="148"/>
        <v>57,1381579488777+149,002039008736i</v>
      </c>
      <c r="BG116" s="68">
        <f t="shared" si="149"/>
        <v>44.0596715928092</v>
      </c>
      <c r="BH116" s="31">
        <f t="shared" si="150"/>
        <v>69.0195636791957</v>
      </c>
      <c r="BI116" s="30" t="str">
        <f t="shared" si="156"/>
        <v>-61,9473581153176+490,808457776762i</v>
      </c>
      <c r="BJ116" s="68">
        <f t="shared" si="151"/>
        <v>53.8868795091763</v>
      </c>
      <c r="BK116" s="31">
        <f t="shared" si="157"/>
        <v>97.1935458435212</v>
      </c>
      <c r="BL116" s="32">
        <f t="shared" si="152"/>
        <v>44.0596715928092</v>
      </c>
      <c r="BM116" s="31">
        <f t="shared" si="153"/>
        <v>69.0195636791957</v>
      </c>
      <c r="BO116">
        <f t="shared" si="154"/>
        <v>0</v>
      </c>
      <c r="BP116">
        <f t="shared" si="155"/>
        <v>0</v>
      </c>
    </row>
    <row r="117" spans="14:68">
      <c r="N117" s="7">
        <v>99</v>
      </c>
      <c r="O117" s="18">
        <f t="shared" si="117"/>
        <v>97.7237220955811</v>
      </c>
      <c r="P117" s="86" t="str">
        <f t="shared" si="105"/>
        <v>96,0576923076923</v>
      </c>
      <c r="Q117" s="4" t="str">
        <f t="shared" si="106"/>
        <v>1+0,819617236163993i</v>
      </c>
      <c r="R117" s="4">
        <f t="shared" si="118"/>
        <v>1.29297038396751</v>
      </c>
      <c r="S117" s="4">
        <f t="shared" si="119"/>
        <v>0.686588735815986</v>
      </c>
      <c r="T117" s="4" t="str">
        <f t="shared" si="107"/>
        <v>1+0,00962777487579487i</v>
      </c>
      <c r="U117" s="4">
        <f t="shared" si="120"/>
        <v>1.00004634595056</v>
      </c>
      <c r="V117" s="4">
        <f t="shared" si="121"/>
        <v>0.00962747741319295</v>
      </c>
      <c r="W117" t="str">
        <f t="shared" si="108"/>
        <v>1-0,00457100989709649i</v>
      </c>
      <c r="X117" s="4">
        <f t="shared" si="122"/>
        <v>1.00001044701117</v>
      </c>
      <c r="Y117" s="4">
        <f t="shared" si="123"/>
        <v>-0.004570978061735</v>
      </c>
      <c r="Z117" t="str">
        <f t="shared" si="109"/>
        <v>0,999999922041422+0,00783558056541712i</v>
      </c>
      <c r="AA117" s="4">
        <f t="shared" si="124"/>
        <v>1.00003061973404</v>
      </c>
      <c r="AB117" s="4">
        <f t="shared" si="125"/>
        <v>0.00783542082352615</v>
      </c>
      <c r="AC117" s="67" t="str">
        <f t="shared" si="126"/>
        <v>57,3290020123193-47,2547816080263i</v>
      </c>
      <c r="AD117" s="68">
        <f t="shared" si="127"/>
        <v>37.4190987646634</v>
      </c>
      <c r="AE117" s="31">
        <f t="shared" si="128"/>
        <v>-39.4978572954264</v>
      </c>
      <c r="AF117" s="32" t="str">
        <f t="shared" si="129"/>
        <v>236,914774604583</v>
      </c>
      <c r="AG117" s="32" t="str">
        <f t="shared" si="110"/>
        <v>1+0,202402085457051i</v>
      </c>
      <c r="AH117" s="32">
        <f t="shared" si="130"/>
        <v>1.02027770935043</v>
      </c>
      <c r="AI117" s="32">
        <f t="shared" si="131"/>
        <v>0.199704186855329</v>
      </c>
      <c r="AJ117" s="32" t="str">
        <f t="shared" si="111"/>
        <v>1+0,00962777487579487i</v>
      </c>
      <c r="AK117" s="32">
        <f t="shared" si="132"/>
        <v>1.00004634595056</v>
      </c>
      <c r="AL117" s="32">
        <f t="shared" si="133"/>
        <v>0.00962747741319295</v>
      </c>
      <c r="AM117" s="32" t="str">
        <f t="shared" si="112"/>
        <v>1-0,00045766069503278i</v>
      </c>
      <c r="AN117" s="32">
        <f t="shared" si="134"/>
        <v>1.00000010472665</v>
      </c>
      <c r="AO117" s="32">
        <f t="shared" si="135"/>
        <v>-0.000457660663079935</v>
      </c>
      <c r="AP117" s="30" t="str">
        <f t="shared" si="136"/>
        <v>228,01456192455-43,9780873138713i</v>
      </c>
      <c r="AQ117" s="32">
        <f t="shared" si="137"/>
        <v>47.3178783925008</v>
      </c>
      <c r="AR117" s="31">
        <f t="shared" si="138"/>
        <v>-10.9168152592125</v>
      </c>
      <c r="AS117" t="str">
        <f t="shared" si="113"/>
        <v>-0,000272527472527473</v>
      </c>
      <c r="AT117" t="str">
        <f t="shared" si="114"/>
        <v>0,000137969452461168i</v>
      </c>
      <c r="AU117">
        <f t="shared" si="139"/>
        <v>0.000137969452461168</v>
      </c>
      <c r="AV117">
        <f t="shared" si="140"/>
        <v>1.5707963267949</v>
      </c>
      <c r="AW117" t="str">
        <f t="shared" si="115"/>
        <v>1+0,00706378290496448i</v>
      </c>
      <c r="AX117">
        <f t="shared" si="141"/>
        <v>1.00002494820326</v>
      </c>
      <c r="AY117">
        <f t="shared" si="142"/>
        <v>0.00706366542122173</v>
      </c>
      <c r="AZ117" t="str">
        <f t="shared" si="116"/>
        <v>1+0,33770894015862i</v>
      </c>
      <c r="BA117">
        <f t="shared" si="143"/>
        <v>1.05548440455701</v>
      </c>
      <c r="BB117">
        <f t="shared" si="144"/>
        <v>0.325683417636613</v>
      </c>
      <c r="BC117" s="30" t="str">
        <f t="shared" si="145"/>
        <v>-0,653082196174882+1,97988723293081i</v>
      </c>
      <c r="BD117" s="32">
        <f t="shared" si="146"/>
        <v>6.3813666742838</v>
      </c>
      <c r="BE117" s="31">
        <f t="shared" si="147"/>
        <v>108.255567071446</v>
      </c>
      <c r="BF117" s="30" t="str">
        <f t="shared" si="148"/>
        <v>56,1185882619452+144,36621571319i</v>
      </c>
      <c r="BG117" s="68">
        <f t="shared" si="149"/>
        <v>43.8004654389472</v>
      </c>
      <c r="BH117" s="31">
        <f t="shared" si="150"/>
        <v>68.7577097760196</v>
      </c>
      <c r="BI117" s="30" t="str">
        <f t="shared" si="156"/>
        <v>-61,8405972600885+480,164425923242i</v>
      </c>
      <c r="BJ117" s="68">
        <f t="shared" si="151"/>
        <v>53.6992450667846</v>
      </c>
      <c r="BK117" s="31">
        <f t="shared" si="157"/>
        <v>97.3387518122335</v>
      </c>
      <c r="BL117" s="32">
        <f t="shared" si="152"/>
        <v>43.8004654389472</v>
      </c>
      <c r="BM117" s="31">
        <f t="shared" si="153"/>
        <v>68.7577097760196</v>
      </c>
      <c r="BO117">
        <f t="shared" si="154"/>
        <v>0</v>
      </c>
      <c r="BP117">
        <f t="shared" si="155"/>
        <v>0</v>
      </c>
    </row>
    <row r="118" spans="14:68">
      <c r="N118" s="7">
        <v>100</v>
      </c>
      <c r="O118" s="18">
        <f t="shared" si="117"/>
        <v>100</v>
      </c>
      <c r="P118" s="86" t="str">
        <f t="shared" si="105"/>
        <v>96,0576923076923</v>
      </c>
      <c r="Q118" s="4" t="str">
        <f t="shared" si="106"/>
        <v>1+0,838708574119134i</v>
      </c>
      <c r="R118" s="4">
        <f t="shared" si="118"/>
        <v>1.30515595707982</v>
      </c>
      <c r="S118" s="4">
        <f t="shared" si="119"/>
        <v>0.697902174902883</v>
      </c>
      <c r="T118" s="4" t="str">
        <f t="shared" si="107"/>
        <v>1+0,0098520345616576i</v>
      </c>
      <c r="U118" s="4">
        <f t="shared" si="120"/>
        <v>1.00004853011492</v>
      </c>
      <c r="V118" s="4">
        <f t="shared" si="121"/>
        <v>0.00985171582557244</v>
      </c>
      <c r="W118" t="str">
        <f t="shared" si="108"/>
        <v>1-0,00467748239534481i</v>
      </c>
      <c r="X118" s="4">
        <f t="shared" si="122"/>
        <v>1.00001093936094</v>
      </c>
      <c r="Y118" s="4">
        <f t="shared" si="123"/>
        <v>-0.00467744828316054</v>
      </c>
      <c r="Z118" t="str">
        <f t="shared" si="109"/>
        <v>0,999999918367347+0,00801809468304261i</v>
      </c>
      <c r="AA118" s="4">
        <f t="shared" si="124"/>
        <v>1.00003206277451</v>
      </c>
      <c r="AB118" s="4">
        <f t="shared" si="125"/>
        <v>0.00801792351681898</v>
      </c>
      <c r="AC118" s="67" t="str">
        <f t="shared" si="126"/>
        <v>56,2575019168624-47,4568113648489i</v>
      </c>
      <c r="AD118" s="68">
        <f t="shared" si="127"/>
        <v>37.3376328248054</v>
      </c>
      <c r="AE118" s="31">
        <f t="shared" si="128"/>
        <v>-40.1497786206569</v>
      </c>
      <c r="AF118" s="32" t="str">
        <f t="shared" si="129"/>
        <v>236,914774604583</v>
      </c>
      <c r="AG118" s="32" t="str">
        <f t="shared" si="110"/>
        <v>1+0,207116635671211i</v>
      </c>
      <c r="AH118" s="32">
        <f t="shared" si="130"/>
        <v>1.02122343332483</v>
      </c>
      <c r="AI118" s="32">
        <f t="shared" si="131"/>
        <v>0.204229020088589</v>
      </c>
      <c r="AJ118" s="32" t="str">
        <f t="shared" si="111"/>
        <v>1+0,0098520345616576i</v>
      </c>
      <c r="AK118" s="32">
        <f t="shared" si="132"/>
        <v>1.00004853011492</v>
      </c>
      <c r="AL118" s="32">
        <f t="shared" si="133"/>
        <v>0.00985171582557244</v>
      </c>
      <c r="AM118" s="32" t="str">
        <f t="shared" si="112"/>
        <v>1-0,000468320982069383i</v>
      </c>
      <c r="AN118" s="32">
        <f t="shared" si="134"/>
        <v>1.00000010966227</v>
      </c>
      <c r="AO118" s="32">
        <f t="shared" si="135"/>
        <v>-0.000468320947831292</v>
      </c>
      <c r="AP118" s="30" t="str">
        <f t="shared" si="136"/>
        <v>227,612361151143-44,9191660911433i</v>
      </c>
      <c r="AQ118" s="32">
        <f t="shared" si="137"/>
        <v>47.3098499407242</v>
      </c>
      <c r="AR118" s="31">
        <f t="shared" si="138"/>
        <v>-11.1638319811694</v>
      </c>
      <c r="AS118" t="str">
        <f t="shared" si="113"/>
        <v>-0,000272527472527473</v>
      </c>
      <c r="AT118" t="str">
        <f t="shared" si="114"/>
        <v>0,000141183173852325i</v>
      </c>
      <c r="AU118">
        <f t="shared" si="139"/>
        <v>0.000141183173852325</v>
      </c>
      <c r="AV118">
        <f t="shared" si="140"/>
        <v>1.5707963267949</v>
      </c>
      <c r="AW118" t="str">
        <f t="shared" si="115"/>
        <v>1+0,00722831954564274i</v>
      </c>
      <c r="AX118">
        <f t="shared" si="141"/>
        <v>1.0000261239605</v>
      </c>
      <c r="AY118">
        <f t="shared" si="142"/>
        <v>0.00722819365972194</v>
      </c>
      <c r="AZ118" t="str">
        <f t="shared" si="116"/>
        <v>1+0,345575191894877i</v>
      </c>
      <c r="BA118">
        <f t="shared" si="143"/>
        <v>1.05802751063154</v>
      </c>
      <c r="BB118">
        <f t="shared" si="144"/>
        <v>0.332727471223119</v>
      </c>
      <c r="BC118" s="30" t="str">
        <f t="shared" si="145"/>
        <v>-0,653080660483669+1,93503195211997i</v>
      </c>
      <c r="BD118" s="32">
        <f t="shared" si="146"/>
        <v>6.20225925346549</v>
      </c>
      <c r="BE118" s="31">
        <f t="shared" si="147"/>
        <v>108.64973483894</v>
      </c>
      <c r="BF118" s="30" t="str">
        <f t="shared" si="148"/>
        <v>55,089759827687+139,853189466184i</v>
      </c>
      <c r="BG118" s="68">
        <f t="shared" si="149"/>
        <v>43.5398920782709</v>
      </c>
      <c r="BH118" s="31">
        <f t="shared" si="150"/>
        <v>68.4999562182831</v>
      </c>
      <c r="BI118" s="30" t="str">
        <f t="shared" si="156"/>
        <v>-61,7292095058897+469,773030184111i</v>
      </c>
      <c r="BJ118" s="68">
        <f t="shared" si="151"/>
        <v>53.5121091941897</v>
      </c>
      <c r="BK118" s="31">
        <f t="shared" si="157"/>
        <v>97.4859028577706</v>
      </c>
      <c r="BL118" s="32">
        <f t="shared" si="152"/>
        <v>43.5398920782709</v>
      </c>
      <c r="BM118" s="31">
        <f t="shared" si="153"/>
        <v>68.4999562182831</v>
      </c>
      <c r="BO118">
        <f t="shared" si="154"/>
        <v>0</v>
      </c>
      <c r="BP118">
        <f t="shared" si="155"/>
        <v>0</v>
      </c>
    </row>
    <row r="119" spans="14:68">
      <c r="N119" s="7">
        <v>1</v>
      </c>
      <c r="O119" s="18">
        <f>10^(2+(N119/100))</f>
        <v>102.329299228075</v>
      </c>
      <c r="P119" s="86" t="str">
        <f t="shared" si="105"/>
        <v>96,0576923076923</v>
      </c>
      <c r="Q119" s="4" t="str">
        <f t="shared" si="106"/>
        <v>1+0,858244606461889i</v>
      </c>
      <c r="R119" s="4">
        <f t="shared" si="118"/>
        <v>1.31779505406604</v>
      </c>
      <c r="S119" s="4">
        <f t="shared" si="119"/>
        <v>0.709261052549879</v>
      </c>
      <c r="T119" s="4" t="str">
        <f t="shared" si="107"/>
        <v>1+0,010081517926652i</v>
      </c>
      <c r="U119" s="4">
        <f t="shared" si="120"/>
        <v>1.00005081721066</v>
      </c>
      <c r="V119" s="4">
        <f t="shared" si="121"/>
        <v>0.0100811763957208</v>
      </c>
      <c r="W119" t="str">
        <f t="shared" si="108"/>
        <v>1-0,00478643495667292i</v>
      </c>
      <c r="X119" s="4">
        <f t="shared" si="122"/>
        <v>1.00001145491419</v>
      </c>
      <c r="Y119" s="4">
        <f t="shared" si="123"/>
        <v>-0.00478639840483154</v>
      </c>
      <c r="Z119" t="str">
        <f t="shared" si="109"/>
        <v>0,999999914520118+0,00820486010060104i</v>
      </c>
      <c r="AA119" s="4">
        <f t="shared" si="124"/>
        <v>1.00003357382116</v>
      </c>
      <c r="AB119" s="4">
        <f t="shared" si="125"/>
        <v>0.00820467669302057</v>
      </c>
      <c r="AC119" s="67" t="str">
        <f t="shared" si="126"/>
        <v>55,1773778634433-47,6352127312944i</v>
      </c>
      <c r="AD119" s="68">
        <f t="shared" si="127"/>
        <v>37.2539347774476</v>
      </c>
      <c r="AE119" s="31">
        <f t="shared" si="128"/>
        <v>-40.8043897985573</v>
      </c>
      <c r="AF119" s="32" t="str">
        <f t="shared" si="129"/>
        <v>236,914774604583</v>
      </c>
      <c r="AG119" s="32" t="str">
        <f t="shared" si="110"/>
        <v>1+0,211941001867115i</v>
      </c>
      <c r="AH119" s="32">
        <f t="shared" si="130"/>
        <v>1.0222127901139</v>
      </c>
      <c r="AI119" s="32">
        <f t="shared" si="131"/>
        <v>0.208850485737805</v>
      </c>
      <c r="AJ119" s="32" t="str">
        <f t="shared" si="111"/>
        <v>1+0,010081517926652i</v>
      </c>
      <c r="AK119" s="32">
        <f t="shared" si="132"/>
        <v>1.00005081721066</v>
      </c>
      <c r="AL119" s="32">
        <f t="shared" si="133"/>
        <v>0.0100811763957208</v>
      </c>
      <c r="AM119" s="32" t="str">
        <f t="shared" si="112"/>
        <v>1-0,000479229579089638i</v>
      </c>
      <c r="AN119" s="32">
        <f t="shared" si="134"/>
        <v>1.00000011483049</v>
      </c>
      <c r="AO119" s="32">
        <f t="shared" si="135"/>
        <v>-0.000479229542402863</v>
      </c>
      <c r="AP119" s="30" t="str">
        <f t="shared" si="136"/>
        <v>227,192798252632-45,8765452991051i</v>
      </c>
      <c r="AQ119" s="32">
        <f t="shared" si="137"/>
        <v>47.3014590717588</v>
      </c>
      <c r="AR119" s="31">
        <f t="shared" si="138"/>
        <v>-11.4161003522294</v>
      </c>
      <c r="AS119" t="str">
        <f t="shared" si="113"/>
        <v>-0,000272527472527473</v>
      </c>
      <c r="AT119" t="str">
        <f t="shared" si="114"/>
        <v>0,000144471752431039i</v>
      </c>
      <c r="AU119">
        <f t="shared" si="139"/>
        <v>0.000144471752431039</v>
      </c>
      <c r="AV119">
        <f t="shared" si="140"/>
        <v>1.5707963267949</v>
      </c>
      <c r="AW119" t="str">
        <f t="shared" si="115"/>
        <v>1+0,00739668873702219i</v>
      </c>
      <c r="AX119">
        <f t="shared" si="141"/>
        <v>1.00002735512798</v>
      </c>
      <c r="AY119">
        <f t="shared" si="142"/>
        <v>0.00739655384802708</v>
      </c>
      <c r="AZ119" t="str">
        <f t="shared" si="116"/>
        <v>1+0,353624672172103i</v>
      </c>
      <c r="BA119">
        <f t="shared" si="143"/>
        <v>1.06068393443515</v>
      </c>
      <c r="BB119">
        <f t="shared" si="144"/>
        <v>0.339900269438073</v>
      </c>
      <c r="BC119" s="30" t="str">
        <f t="shared" si="145"/>
        <v>-0,653079052425294+1,8912026498168i</v>
      </c>
      <c r="BD119" s="32">
        <f t="shared" si="146"/>
        <v>6.02402917207794</v>
      </c>
      <c r="BE119" s="31">
        <f t="shared" si="147"/>
        <v>109.051059575728</v>
      </c>
      <c r="BF119" s="30" t="str">
        <f t="shared" si="148"/>
        <v>54,052650891641+135,461162817918i</v>
      </c>
      <c r="BG119" s="68">
        <f t="shared" si="149"/>
        <v>43.2779639495256</v>
      </c>
      <c r="BH119" s="31">
        <f t="shared" si="150"/>
        <v>68.2466697771706</v>
      </c>
      <c r="BI119" s="30" t="str">
        <f t="shared" si="156"/>
        <v>-61,6130133665719+459,628632807157i</v>
      </c>
      <c r="BJ119" s="68">
        <f t="shared" si="151"/>
        <v>53.3254882438367</v>
      </c>
      <c r="BK119" s="31">
        <f t="shared" si="157"/>
        <v>97.6349592234986</v>
      </c>
      <c r="BL119" s="32">
        <f t="shared" si="152"/>
        <v>43.2779639495256</v>
      </c>
      <c r="BM119" s="31">
        <f t="shared" si="153"/>
        <v>68.2466697771706</v>
      </c>
      <c r="BO119">
        <f t="shared" si="154"/>
        <v>0</v>
      </c>
      <c r="BP119">
        <f t="shared" si="155"/>
        <v>0</v>
      </c>
    </row>
    <row r="120" spans="14:68">
      <c r="N120" s="7">
        <v>2</v>
      </c>
      <c r="O120" s="18">
        <f t="shared" ref="O120:O183" si="158">10^(2+(N120/100))</f>
        <v>104.71285480509</v>
      </c>
      <c r="P120" s="86" t="str">
        <f t="shared" si="105"/>
        <v>96,0576923076923</v>
      </c>
      <c r="Q120" s="4" t="str">
        <f t="shared" si="106"/>
        <v>1+0,878235691455209i</v>
      </c>
      <c r="R120" s="4">
        <f t="shared" si="118"/>
        <v>1.33090117204314</v>
      </c>
      <c r="S120" s="4">
        <f t="shared" si="119"/>
        <v>0.720659667661796</v>
      </c>
      <c r="T120" s="4" t="str">
        <f t="shared" si="107"/>
        <v>1+0,0103163466458958i</v>
      </c>
      <c r="U120" s="4">
        <f t="shared" si="120"/>
        <v>1.0000532120883</v>
      </c>
      <c r="V120" s="4">
        <f t="shared" si="121"/>
        <v>0.0103159806899613</v>
      </c>
      <c r="W120" t="str">
        <f t="shared" si="108"/>
        <v>1-0,00489792534917106i</v>
      </c>
      <c r="X120" s="4">
        <f t="shared" si="122"/>
        <v>1.00001199476443</v>
      </c>
      <c r="Y120" s="4">
        <f t="shared" si="123"/>
        <v>-0.00489788618319275</v>
      </c>
      <c r="Z120" t="str">
        <f t="shared" si="109"/>
        <v>0,999999910491576+0,00839597584358905i</v>
      </c>
      <c r="AA120" s="4">
        <f t="shared" si="124"/>
        <v>1.00003515607879</v>
      </c>
      <c r="AB120" s="4">
        <f t="shared" si="125"/>
        <v>0.00839577931919898</v>
      </c>
      <c r="AC120" s="67" t="str">
        <f t="shared" si="126"/>
        <v>54,0896835480708-47,7895283355265i</v>
      </c>
      <c r="AD120" s="68">
        <f t="shared" si="127"/>
        <v>37.1679878383285</v>
      </c>
      <c r="AE120" s="31">
        <f t="shared" si="128"/>
        <v>-41.4613661947939</v>
      </c>
      <c r="AF120" s="32" t="str">
        <f t="shared" si="129"/>
        <v>236,914774604583</v>
      </c>
      <c r="AG120" s="32" t="str">
        <f t="shared" si="110"/>
        <v>1+0,216877741987582i</v>
      </c>
      <c r="AH120" s="32">
        <f t="shared" si="130"/>
        <v>1.02324774857785</v>
      </c>
      <c r="AI120" s="32">
        <f t="shared" si="131"/>
        <v>0.21357024415592</v>
      </c>
      <c r="AJ120" s="32" t="str">
        <f t="shared" si="111"/>
        <v>1+0,0103163466458958i</v>
      </c>
      <c r="AK120" s="32">
        <f t="shared" si="132"/>
        <v>1.0000532120883</v>
      </c>
      <c r="AL120" s="32">
        <f t="shared" si="133"/>
        <v>0.0103159806899613</v>
      </c>
      <c r="AM120" s="32" t="str">
        <f t="shared" si="112"/>
        <v>1-0,000490392269976085i</v>
      </c>
      <c r="AN120" s="32">
        <f t="shared" si="134"/>
        <v>1.00000012024228</v>
      </c>
      <c r="AO120" s="32">
        <f t="shared" si="135"/>
        <v>-0.000490392230665498</v>
      </c>
      <c r="AP120" s="30" t="str">
        <f t="shared" si="136"/>
        <v>226,755198543206-46,8502416777504i</v>
      </c>
      <c r="AQ120" s="32">
        <f t="shared" si="137"/>
        <v>47.2926901767765</v>
      </c>
      <c r="AR120" s="31">
        <f t="shared" si="138"/>
        <v>-11.6737088697626</v>
      </c>
      <c r="AS120" t="str">
        <f t="shared" si="113"/>
        <v>-0,000272527472527473</v>
      </c>
      <c r="AT120" t="str">
        <f t="shared" si="114"/>
        <v>0,000147836931845203i</v>
      </c>
      <c r="AU120">
        <f t="shared" si="139"/>
        <v>0.000147836931845203</v>
      </c>
      <c r="AV120">
        <f t="shared" si="140"/>
        <v>1.5707963267949</v>
      </c>
      <c r="AW120" t="str">
        <f t="shared" si="115"/>
        <v>1+0,00756897975067682i</v>
      </c>
      <c r="AX120">
        <f t="shared" si="141"/>
        <v>1.00002864431698</v>
      </c>
      <c r="AY120">
        <f t="shared" si="142"/>
        <v>0.00756883521473809</v>
      </c>
      <c r="AZ120" t="str">
        <f t="shared" si="116"/>
        <v>1+0,361861648931294i</v>
      </c>
      <c r="BA120">
        <f t="shared" si="143"/>
        <v>1.06345843969911</v>
      </c>
      <c r="BB120">
        <f t="shared" si="144"/>
        <v>0.347202662189574</v>
      </c>
      <c r="BC120" s="30" t="str">
        <f t="shared" si="145"/>
        <v>-0,653077368589952+1,84837608707021i</v>
      </c>
      <c r="BD120" s="32">
        <f t="shared" si="146"/>
        <v>5.84670860076707</v>
      </c>
      <c r="BE120" s="31">
        <f t="shared" si="147"/>
        <v>109.459584865535</v>
      </c>
      <c r="BF120" s="30" t="str">
        <f t="shared" si="148"/>
        <v>53,0082731883141+131,18833703897i</v>
      </c>
      <c r="BG120" s="68">
        <f t="shared" si="149"/>
        <v>43.0146964390956</v>
      </c>
      <c r="BH120" s="31">
        <f t="shared" si="150"/>
        <v>67.9982186707408</v>
      </c>
      <c r="BI120" s="30" t="str">
        <f t="shared" si="156"/>
        <v>-61,4918219880752+449,725719158828i</v>
      </c>
      <c r="BJ120" s="68">
        <f t="shared" si="151"/>
        <v>53.1393987775436</v>
      </c>
      <c r="BK120" s="31">
        <f t="shared" si="157"/>
        <v>97.7858759957719</v>
      </c>
      <c r="BL120" s="32">
        <f t="shared" si="152"/>
        <v>43.0146964390956</v>
      </c>
      <c r="BM120" s="31">
        <f t="shared" si="153"/>
        <v>67.9982186707408</v>
      </c>
      <c r="BO120">
        <f t="shared" si="154"/>
        <v>0</v>
      </c>
      <c r="BP120">
        <f t="shared" si="155"/>
        <v>0</v>
      </c>
    </row>
    <row r="121" spans="14:68">
      <c r="N121" s="7">
        <v>3</v>
      </c>
      <c r="O121" s="18">
        <f t="shared" si="158"/>
        <v>107.151930523761</v>
      </c>
      <c r="P121" s="86" t="str">
        <f t="shared" si="105"/>
        <v>96,0576923076923</v>
      </c>
      <c r="Q121" s="4" t="str">
        <f t="shared" si="106"/>
        <v>1+0,898692428636961i</v>
      </c>
      <c r="R121" s="4">
        <f t="shared" si="118"/>
        <v>1.34448803687106</v>
      </c>
      <c r="S121" s="4">
        <f t="shared" si="119"/>
        <v>0.732092216793899</v>
      </c>
      <c r="T121" s="4" t="str">
        <f t="shared" si="107"/>
        <v>1+0,0105566452286843i</v>
      </c>
      <c r="U121" s="4">
        <f t="shared" si="120"/>
        <v>1.00005571982689</v>
      </c>
      <c r="V121" s="4">
        <f t="shared" si="121"/>
        <v>0.0105562531010156</v>
      </c>
      <c r="W121" t="str">
        <f t="shared" si="108"/>
        <v>1-0,00501201268652102i</v>
      </c>
      <c r="X121" s="4">
        <f t="shared" si="122"/>
        <v>1.00001256005671</v>
      </c>
      <c r="Y121" s="4">
        <f t="shared" si="123"/>
        <v>-0.00501197071944762</v>
      </c>
      <c r="Z121" t="str">
        <f t="shared" si="109"/>
        <v>0,999999906273174+0,00859154324410319i</v>
      </c>
      <c r="AA121" s="4">
        <f t="shared" si="124"/>
        <v>1.00003681290324</v>
      </c>
      <c r="AB121" s="4">
        <f t="shared" si="125"/>
        <v>0.00859133266484394</v>
      </c>
      <c r="AC121" s="67" t="str">
        <f t="shared" si="126"/>
        <v>52,995503633893-47,9193592432256i</v>
      </c>
      <c r="AD121" s="68">
        <f t="shared" si="127"/>
        <v>37.0797774436842</v>
      </c>
      <c r="AE121" s="31">
        <f t="shared" si="128"/>
        <v>-42.1203773578627</v>
      </c>
      <c r="AF121" s="32" t="str">
        <f t="shared" si="129"/>
        <v>236,914774604583</v>
      </c>
      <c r="AG121" s="32" t="str">
        <f t="shared" si="110"/>
        <v>1+0,221929473557567i</v>
      </c>
      <c r="AH121" s="32">
        <f t="shared" si="130"/>
        <v>1.02433036235071</v>
      </c>
      <c r="AI121" s="32">
        <f t="shared" si="131"/>
        <v>0.218389956328641</v>
      </c>
      <c r="AJ121" s="32" t="str">
        <f t="shared" si="111"/>
        <v>1+0,0105566452286843i</v>
      </c>
      <c r="AK121" s="32">
        <f t="shared" si="132"/>
        <v>1.00005571982689</v>
      </c>
      <c r="AL121" s="32">
        <f t="shared" si="133"/>
        <v>0.0105562531010156</v>
      </c>
      <c r="AM121" s="32" t="str">
        <f t="shared" si="112"/>
        <v>1-0,000501814973335181i</v>
      </c>
      <c r="AN121" s="32">
        <f t="shared" si="134"/>
        <v>1.00000012590913</v>
      </c>
      <c r="AO121" s="32">
        <f t="shared" si="135"/>
        <v>-0.000501814931213128</v>
      </c>
      <c r="AP121" s="30" t="str">
        <f t="shared" si="136"/>
        <v>226,298867982812-47,8402507944655i</v>
      </c>
      <c r="AQ121" s="32">
        <f t="shared" si="137"/>
        <v>47.2835270437195</v>
      </c>
      <c r="AR121" s="31">
        <f t="shared" si="138"/>
        <v>-11.9367459131726</v>
      </c>
      <c r="AS121" t="str">
        <f t="shared" si="113"/>
        <v>-0,000272527472527473</v>
      </c>
      <c r="AT121" t="str">
        <f t="shared" si="114"/>
        <v>0,000151280496357484i</v>
      </c>
      <c r="AU121">
        <f t="shared" si="139"/>
        <v>0.000151280496357484</v>
      </c>
      <c r="AV121">
        <f t="shared" si="140"/>
        <v>1.5707963267949</v>
      </c>
      <c r="AW121" t="str">
        <f t="shared" si="115"/>
        <v>1+0,00774528393758255i</v>
      </c>
      <c r="AX121">
        <f t="shared" si="141"/>
        <v>1.00002999426181</v>
      </c>
      <c r="AY121">
        <f t="shared" si="142"/>
        <v>0.00774512906478478</v>
      </c>
      <c r="AZ121" t="str">
        <f t="shared" si="116"/>
        <v>1+0,370290489526552i</v>
      </c>
      <c r="BA121">
        <f t="shared" si="143"/>
        <v>1.06635596619225</v>
      </c>
      <c r="BB121">
        <f t="shared" si="144"/>
        <v>0.354635405147104</v>
      </c>
      <c r="BC121" s="30" t="str">
        <f t="shared" si="145"/>
        <v>-0,653075605407198+1,8065295565896i</v>
      </c>
      <c r="BD121" s="32">
        <f t="shared" si="146"/>
        <v>5.67033049441855</v>
      </c>
      <c r="BE121" s="31">
        <f t="shared" si="147"/>
        <v>109.875348773645</v>
      </c>
      <c r="BF121" s="30" t="str">
        <f t="shared" si="148"/>
        <v>51,9576681861581+127,032908229474i</v>
      </c>
      <c r="BG121" s="68">
        <f t="shared" si="149"/>
        <v>42.7501079381027</v>
      </c>
      <c r="BH121" s="31">
        <f t="shared" si="150"/>
        <v>67.7549714157821</v>
      </c>
      <c r="BI121" s="30" t="str">
        <f t="shared" si="156"/>
        <v>-61,3654431559775+440,058894384146i</v>
      </c>
      <c r="BJ121" s="68">
        <f t="shared" si="151"/>
        <v>52.9538575381381</v>
      </c>
      <c r="BK121" s="31">
        <f t="shared" si="157"/>
        <v>97.9386028604722</v>
      </c>
      <c r="BL121" s="32">
        <f t="shared" si="152"/>
        <v>42.7501079381027</v>
      </c>
      <c r="BM121" s="31">
        <f t="shared" si="153"/>
        <v>67.7549714157821</v>
      </c>
      <c r="BO121">
        <f t="shared" si="154"/>
        <v>0</v>
      </c>
      <c r="BP121">
        <f t="shared" si="155"/>
        <v>0</v>
      </c>
    </row>
    <row r="122" spans="14:68">
      <c r="N122" s="7">
        <v>4</v>
      </c>
      <c r="O122" s="18">
        <f t="shared" si="158"/>
        <v>109.647819614319</v>
      </c>
      <c r="P122" s="86" t="str">
        <f t="shared" si="105"/>
        <v>96,0576923076923</v>
      </c>
      <c r="Q122" s="4" t="str">
        <f t="shared" si="106"/>
        <v>1+0,919625664439975i</v>
      </c>
      <c r="R122" s="4">
        <f t="shared" si="118"/>
        <v>1.35856960171228</v>
      </c>
      <c r="S122" s="4">
        <f t="shared" si="119"/>
        <v>0.743552808416808</v>
      </c>
      <c r="T122" s="4" t="str">
        <f t="shared" si="107"/>
        <v>1+0,0108025410845067i</v>
      </c>
      <c r="U122" s="4">
        <f t="shared" si="120"/>
        <v>1.00005834574483</v>
      </c>
      <c r="V122" s="4">
        <f t="shared" si="121"/>
        <v>0.0108021209134636</v>
      </c>
      <c r="W122" t="str">
        <f t="shared" si="108"/>
        <v>1-0,00512875745933921i</v>
      </c>
      <c r="X122" s="4">
        <f t="shared" si="122"/>
        <v>1.00001315199005</v>
      </c>
      <c r="Y122" s="4">
        <f t="shared" si="123"/>
        <v>-0.00512871249084182</v>
      </c>
      <c r="Z122" t="str">
        <f t="shared" si="109"/>
        <v>0,999999901855965+0,00879166599456786i</v>
      </c>
      <c r="AA122" s="4">
        <f t="shared" si="124"/>
        <v>1.00003854780848</v>
      </c>
      <c r="AB122" s="4">
        <f t="shared" si="125"/>
        <v>0.00879144035529604</v>
      </c>
      <c r="AC122" s="67" t="str">
        <f t="shared" si="126"/>
        <v>51,895949574989-48,0243674450208i</v>
      </c>
      <c r="AD122" s="68">
        <f t="shared" si="127"/>
        <v>36.9892913102712</v>
      </c>
      <c r="AE122" s="31">
        <f t="shared" si="128"/>
        <v>-42.7810878375118</v>
      </c>
      <c r="AF122" s="32" t="str">
        <f t="shared" si="129"/>
        <v>236,914774604583</v>
      </c>
      <c r="AG122" s="32" t="str">
        <f t="shared" si="110"/>
        <v>1+0,227098875072015i</v>
      </c>
      <c r="AH122" s="32">
        <f t="shared" si="130"/>
        <v>1.02546277312196</v>
      </c>
      <c r="AI122" s="32">
        <f t="shared" si="131"/>
        <v>0.223311281639836</v>
      </c>
      <c r="AJ122" s="32" t="str">
        <f t="shared" si="111"/>
        <v>1+0,0108025410845067i</v>
      </c>
      <c r="AK122" s="32">
        <f t="shared" si="132"/>
        <v>1.00005834574483</v>
      </c>
      <c r="AL122" s="32">
        <f t="shared" si="133"/>
        <v>0.0108021209134636</v>
      </c>
      <c r="AM122" s="32" t="str">
        <f t="shared" si="112"/>
        <v>1-0,000513503745635445i</v>
      </c>
      <c r="AN122" s="32">
        <f t="shared" si="134"/>
        <v>1.00000013184304</v>
      </c>
      <c r="AO122" s="32">
        <f t="shared" si="135"/>
        <v>-0.000513503700500853</v>
      </c>
      <c r="AP122" s="30" t="str">
        <f t="shared" si="136"/>
        <v>225,823093274277-48,8465454858342i</v>
      </c>
      <c r="AQ122" s="32">
        <f t="shared" si="137"/>
        <v>47.2739528403149</v>
      </c>
      <c r="AR122" s="31">
        <f t="shared" si="138"/>
        <v>-12.2052996122915</v>
      </c>
      <c r="AS122" t="str">
        <f t="shared" si="113"/>
        <v>-0,000272527472527473</v>
      </c>
      <c r="AT122" t="str">
        <f t="shared" si="114"/>
        <v>0,000154804271791368i</v>
      </c>
      <c r="AU122">
        <f t="shared" si="139"/>
        <v>0.000154804271791368</v>
      </c>
      <c r="AV122">
        <f t="shared" si="140"/>
        <v>1.5707963267949</v>
      </c>
      <c r="AW122" t="str">
        <f t="shared" si="115"/>
        <v>1+0,00792569477655292i</v>
      </c>
      <c r="AX122">
        <f t="shared" si="141"/>
        <v>1.00003140782562</v>
      </c>
      <c r="AY122">
        <f t="shared" si="142"/>
        <v>0.00792552882764174</v>
      </c>
      <c r="AZ122" t="str">
        <f t="shared" si="116"/>
        <v>1+0,378915663040731i</v>
      </c>
      <c r="BA122">
        <f t="shared" si="143"/>
        <v>1.06938163426234</v>
      </c>
      <c r="BB122">
        <f t="shared" si="144"/>
        <v>0.362199153255307</v>
      </c>
      <c r="BC122" s="30" t="str">
        <f t="shared" si="145"/>
        <v>-0,653073759138408+1,76564087070467i</v>
      </c>
      <c r="BD122" s="32">
        <f t="shared" si="146"/>
        <v>5.49492857759173</v>
      </c>
      <c r="BE122" s="31">
        <f t="shared" si="147"/>
        <v>110.298383472508</v>
      </c>
      <c r="BF122" s="30" t="str">
        <f t="shared" si="148"/>
        <v>50,9019030776722+122,993063771193i</v>
      </c>
      <c r="BG122" s="68">
        <f t="shared" si="149"/>
        <v>42.4842198878629</v>
      </c>
      <c r="BH122" s="31">
        <f t="shared" si="150"/>
        <v>67.5172956349962</v>
      </c>
      <c r="BI122" s="30" t="str">
        <f t="shared" si="156"/>
        <v>-61,2336793223719+430,622880115375i</v>
      </c>
      <c r="BJ122" s="68">
        <f t="shared" si="151"/>
        <v>52.7688814179066</v>
      </c>
      <c r="BK122" s="31">
        <f t="shared" si="157"/>
        <v>98.0930838602166</v>
      </c>
      <c r="BL122" s="32">
        <f t="shared" si="152"/>
        <v>42.4842198878629</v>
      </c>
      <c r="BM122" s="31">
        <f t="shared" si="153"/>
        <v>67.5172956349962</v>
      </c>
      <c r="BO122">
        <f t="shared" si="154"/>
        <v>0</v>
      </c>
      <c r="BP122">
        <f t="shared" si="155"/>
        <v>0</v>
      </c>
    </row>
    <row r="123" spans="14:68">
      <c r="N123" s="7">
        <v>5</v>
      </c>
      <c r="O123" s="18">
        <f t="shared" si="158"/>
        <v>112.201845430196</v>
      </c>
      <c r="P123" s="86" t="str">
        <f t="shared" si="105"/>
        <v>96,0576923076923</v>
      </c>
      <c r="Q123" s="4" t="str">
        <f t="shared" si="106"/>
        <v>1+0,941046497942952i</v>
      </c>
      <c r="R123" s="4">
        <f t="shared" si="118"/>
        <v>1.37316004576695</v>
      </c>
      <c r="S123" s="4">
        <f t="shared" si="119"/>
        <v>0.755035477733483</v>
      </c>
      <c r="T123" s="4" t="str">
        <f t="shared" si="107"/>
        <v>1+0,0110541645906006i</v>
      </c>
      <c r="U123" s="4">
        <f t="shared" si="120"/>
        <v>1.00006109541107</v>
      </c>
      <c r="V123" s="4">
        <f t="shared" si="121"/>
        <v>0.0110537143707019</v>
      </c>
      <c r="W123" t="str">
        <f t="shared" si="108"/>
        <v>1-0,00524822156724942i</v>
      </c>
      <c r="X123" s="4">
        <f t="shared" si="122"/>
        <v>1.00001377181998</v>
      </c>
      <c r="Y123" s="4">
        <f t="shared" si="123"/>
        <v>-0.00524817338267218</v>
      </c>
      <c r="Z123" t="str">
        <f t="shared" si="109"/>
        <v>0,999999897230579+0,00899645020271424i</v>
      </c>
      <c r="AA123" s="4">
        <f t="shared" si="124"/>
        <v>1.00004036447406</v>
      </c>
      <c r="AB123" s="4">
        <f t="shared" si="125"/>
        <v>0.00899620842640552</v>
      </c>
      <c r="AC123" s="67" t="str">
        <f t="shared" si="126"/>
        <v>50,7921552074097-48,1042779864325i</v>
      </c>
      <c r="AD123" s="68">
        <f t="shared" si="127"/>
        <v>36.8965194864796</v>
      </c>
      <c r="AE123" s="31">
        <f t="shared" si="128"/>
        <v>-43.4431580348212</v>
      </c>
      <c r="AF123" s="32" t="str">
        <f t="shared" si="129"/>
        <v>236,914774604583</v>
      </c>
      <c r="AG123" s="32" t="str">
        <f t="shared" si="110"/>
        <v>1+0,232388687416034i</v>
      </c>
      <c r="AH123" s="32">
        <f t="shared" si="130"/>
        <v>1.02664721401217</v>
      </c>
      <c r="AI123" s="32">
        <f t="shared" si="131"/>
        <v>0.228335875475026</v>
      </c>
      <c r="AJ123" s="32" t="str">
        <f t="shared" si="111"/>
        <v>1+0,0110541645906006i</v>
      </c>
      <c r="AK123" s="32">
        <f t="shared" si="132"/>
        <v>1.00006109541107</v>
      </c>
      <c r="AL123" s="32">
        <f t="shared" si="133"/>
        <v>0.0110537143707019</v>
      </c>
      <c r="AM123" s="32" t="str">
        <f t="shared" si="112"/>
        <v>1-0,000525464784418665i</v>
      </c>
      <c r="AN123" s="32">
        <f t="shared" si="134"/>
        <v>1.00000013805661</v>
      </c>
      <c r="AO123" s="32">
        <f t="shared" si="135"/>
        <v>-0.000525464736056078</v>
      </c>
      <c r="AP123" s="30" t="str">
        <f t="shared" si="136"/>
        <v>225,327142037324-49,869074235799i</v>
      </c>
      <c r="AQ123" s="32">
        <f t="shared" si="137"/>
        <v>47.2639500972143</v>
      </c>
      <c r="AR123" s="31">
        <f t="shared" si="138"/>
        <v>-12.4794577064183</v>
      </c>
      <c r="AS123" t="str">
        <f t="shared" si="113"/>
        <v>-0,000272527472527473</v>
      </c>
      <c r="AT123" t="str">
        <f t="shared" si="114"/>
        <v>0,000158410126499231i</v>
      </c>
      <c r="AU123">
        <f t="shared" si="139"/>
        <v>0.000158410126499231</v>
      </c>
      <c r="AV123">
        <f t="shared" si="140"/>
        <v>1.5707963267949</v>
      </c>
      <c r="AW123" t="str">
        <f t="shared" si="115"/>
        <v>1+0,00811030792380272i</v>
      </c>
      <c r="AX123">
        <f t="shared" si="141"/>
        <v>1.0000328880065</v>
      </c>
      <c r="AY123">
        <f t="shared" si="142"/>
        <v>0.00811013010665655</v>
      </c>
      <c r="AZ123" t="str">
        <f t="shared" si="116"/>
        <v>1+0,387741742654993i</v>
      </c>
      <c r="BA123">
        <f t="shared" si="143"/>
        <v>1.07254074934108</v>
      </c>
      <c r="BB123">
        <f t="shared" si="144"/>
        <v>0.369894454122089</v>
      </c>
      <c r="BC123" s="30" t="str">
        <f t="shared" si="145"/>
        <v>-0,653071825868838+1,72568834960088i</v>
      </c>
      <c r="BD123" s="32">
        <f t="shared" si="146"/>
        <v>5.32053732650217</v>
      </c>
      <c r="BE123" s="31">
        <f t="shared" si="147"/>
        <v>110.728714860078</v>
      </c>
      <c r="BF123" s="30" t="str">
        <f t="shared" si="148"/>
        <v>49,8420665460322+119,066979149248i</v>
      </c>
      <c r="BG123" s="68">
        <f t="shared" si="149"/>
        <v>42.2170568129818</v>
      </c>
      <c r="BH123" s="31">
        <f t="shared" si="150"/>
        <v>67.2855568252566</v>
      </c>
      <c r="BI123" s="30" t="str">
        <f t="shared" si="156"/>
        <v>-61,0963276540225+421,412511228235i</v>
      </c>
      <c r="BJ123" s="68">
        <f t="shared" si="151"/>
        <v>52.5844874237165</v>
      </c>
      <c r="BK123" s="31">
        <f t="shared" si="157"/>
        <v>98.2492571536595</v>
      </c>
      <c r="BL123" s="32">
        <f t="shared" si="152"/>
        <v>42.2170568129818</v>
      </c>
      <c r="BM123" s="31">
        <f t="shared" si="153"/>
        <v>67.2855568252566</v>
      </c>
      <c r="BO123">
        <f t="shared" si="154"/>
        <v>0</v>
      </c>
      <c r="BP123">
        <f t="shared" si="155"/>
        <v>0</v>
      </c>
    </row>
    <row r="124" spans="14:68">
      <c r="N124" s="7">
        <v>6</v>
      </c>
      <c r="O124" s="18">
        <f t="shared" si="158"/>
        <v>114.815362149688</v>
      </c>
      <c r="P124" s="86" t="str">
        <f t="shared" si="105"/>
        <v>96,0576923076923</v>
      </c>
      <c r="Q124" s="4" t="str">
        <f t="shared" si="106"/>
        <v>1+0,962966286755368i</v>
      </c>
      <c r="R124" s="4">
        <f t="shared" si="118"/>
        <v>1.3882737732261</v>
      </c>
      <c r="S124" s="4">
        <f t="shared" si="119"/>
        <v>0.766534201959862</v>
      </c>
      <c r="T124" s="4" t="str">
        <f t="shared" si="107"/>
        <v>1+0,0113116491610796i</v>
      </c>
      <c r="U124" s="4">
        <f t="shared" si="120"/>
        <v>1.00006397465699</v>
      </c>
      <c r="V124" s="4">
        <f t="shared" si="121"/>
        <v>0.0113111667434332</v>
      </c>
      <c r="W124" t="str">
        <f t="shared" si="108"/>
        <v>1-0,00537046835170305i</v>
      </c>
      <c r="X124" s="4">
        <f t="shared" si="122"/>
        <v>1.00001442086118</v>
      </c>
      <c r="Y124" s="4">
        <f t="shared" si="123"/>
        <v>-0.00537041672103853</v>
      </c>
      <c r="Z124" t="str">
        <f t="shared" si="109"/>
        <v>0,999999892387205+0,00920600444784025i</v>
      </c>
      <c r="AA124" s="4">
        <f t="shared" si="124"/>
        <v>1.00004226675292</v>
      </c>
      <c r="AB124" s="4">
        <f t="shared" si="125"/>
        <v>0.00920574538044928</v>
      </c>
      <c r="AC124" s="67" t="str">
        <f t="shared" si="126"/>
        <v>49,6852721435776-48,1588807155785i</v>
      </c>
      <c r="AD124" s="68">
        <f t="shared" si="127"/>
        <v>36.801454394088</v>
      </c>
      <c r="AE124" s="31">
        <f t="shared" si="128"/>
        <v>-44.1062450788751</v>
      </c>
      <c r="AF124" s="32" t="str">
        <f t="shared" si="129"/>
        <v>236,914774604583</v>
      </c>
      <c r="AG124" s="32" t="str">
        <f t="shared" si="110"/>
        <v>1+0,23780171531815i</v>
      </c>
      <c r="AH124" s="32">
        <f t="shared" si="130"/>
        <v>1.02788601304243</v>
      </c>
      <c r="AI124" s="32">
        <f t="shared" si="131"/>
        <v>0.233465386656555</v>
      </c>
      <c r="AJ124" s="32" t="str">
        <f t="shared" si="111"/>
        <v>1+0,0113116491610796i</v>
      </c>
      <c r="AK124" s="32">
        <f t="shared" si="132"/>
        <v>1.00006397465699</v>
      </c>
      <c r="AL124" s="32">
        <f t="shared" si="133"/>
        <v>0.0113111667434332</v>
      </c>
      <c r="AM124" s="32" t="str">
        <f t="shared" si="112"/>
        <v>1-0,000537704431585938i</v>
      </c>
      <c r="AN124" s="32">
        <f t="shared" si="134"/>
        <v>1.00000014456302</v>
      </c>
      <c r="AO124" s="32">
        <f t="shared" si="135"/>
        <v>-0.000537704379764493</v>
      </c>
      <c r="AP124" s="30" t="str">
        <f t="shared" si="136"/>
        <v>224,810263066951-50,9077594912552i</v>
      </c>
      <c r="AQ124" s="32">
        <f t="shared" si="137"/>
        <v>47.253500691328</v>
      </c>
      <c r="AR124" s="31">
        <f t="shared" si="138"/>
        <v>-12.7593073936292</v>
      </c>
      <c r="AS124" t="str">
        <f t="shared" si="113"/>
        <v>-0,000272527472527473</v>
      </c>
      <c r="AT124" t="str">
        <f t="shared" si="114"/>
        <v>0,000162099972352971i</v>
      </c>
      <c r="AU124">
        <f t="shared" si="139"/>
        <v>0.000162099972352971</v>
      </c>
      <c r="AV124">
        <f t="shared" si="140"/>
        <v>1.5707963267949</v>
      </c>
      <c r="AW124" t="str">
        <f t="shared" si="115"/>
        <v>1+0,00829922126366639i</v>
      </c>
      <c r="AX124">
        <f t="shared" si="141"/>
        <v>1.00003443794381</v>
      </c>
      <c r="AY124">
        <f t="shared" si="142"/>
        <v>0.00829903072951584</v>
      </c>
      <c r="AZ124" t="str">
        <f t="shared" si="116"/>
        <v>1+0,396773408073582i</v>
      </c>
      <c r="BA124">
        <f t="shared" si="143"/>
        <v>1.07583880639914</v>
      </c>
      <c r="BB124">
        <f t="shared" si="144"/>
        <v>0.3777217413021</v>
      </c>
      <c r="BC124" s="30" t="str">
        <f t="shared" si="145"/>
        <v>-0,653069801499346+1,68665080982404i</v>
      </c>
      <c r="BD124" s="32">
        <f t="shared" si="146"/>
        <v>5.14719194734825</v>
      </c>
      <c r="BE124" s="31">
        <f t="shared" si="147"/>
        <v>111.166362172092</v>
      </c>
      <c r="BF124" s="30" t="str">
        <f t="shared" si="148"/>
        <v>48,7792643429026+115,252815166647i</v>
      </c>
      <c r="BG124" s="68">
        <f t="shared" si="149"/>
        <v>41.9486463414363</v>
      </c>
      <c r="BH124" s="31">
        <f t="shared" si="150"/>
        <v>67.060117093217</v>
      </c>
      <c r="BI124" s="30" t="str">
        <f t="shared" si="156"/>
        <v>-60,9531801038964+412,422732644359i</v>
      </c>
      <c r="BJ124" s="68">
        <f t="shared" si="151"/>
        <v>52.4006926386763</v>
      </c>
      <c r="BK124" s="31">
        <f t="shared" si="157"/>
        <v>98.4070547784629</v>
      </c>
      <c r="BL124" s="32">
        <f t="shared" si="152"/>
        <v>41.9486463414363</v>
      </c>
      <c r="BM124" s="31">
        <f t="shared" si="153"/>
        <v>67.060117093217</v>
      </c>
      <c r="BO124">
        <f t="shared" si="154"/>
        <v>0</v>
      </c>
      <c r="BP124">
        <f t="shared" si="155"/>
        <v>0</v>
      </c>
    </row>
    <row r="125" spans="14:68">
      <c r="N125" s="7">
        <v>7</v>
      </c>
      <c r="O125" s="18">
        <f t="shared" si="158"/>
        <v>117.489755493953</v>
      </c>
      <c r="P125" s="86" t="str">
        <f t="shared" si="105"/>
        <v>96,0576923076923</v>
      </c>
      <c r="Q125" s="4" t="str">
        <f t="shared" si="106"/>
        <v>1+0,98539665303939i</v>
      </c>
      <c r="R125" s="4">
        <f t="shared" si="118"/>
        <v>1.40392541248502</v>
      </c>
      <c r="S125" s="4">
        <f t="shared" si="119"/>
        <v>0.77804291597527</v>
      </c>
      <c r="T125" s="4" t="str">
        <f t="shared" si="107"/>
        <v>1+0,0115751313176713i</v>
      </c>
      <c r="U125" s="4">
        <f t="shared" si="120"/>
        <v>1.00006698958871</v>
      </c>
      <c r="V125" s="4">
        <f t="shared" si="121"/>
        <v>0.0115746143997201</v>
      </c>
      <c r="W125" t="str">
        <f t="shared" si="108"/>
        <v>1-0,00549556262956332i</v>
      </c>
      <c r="X125" s="4">
        <f t="shared" si="122"/>
        <v>1.0000151004903</v>
      </c>
      <c r="Y125" s="4">
        <f t="shared" si="123"/>
        <v>-0.00549550730635467</v>
      </c>
      <c r="Z125" t="str">
        <f t="shared" si="109"/>
        <v>0,99999988731557+0,00942043983838041i</v>
      </c>
      <c r="AA125" s="4">
        <f t="shared" si="124"/>
        <v>1.00004425867954</v>
      </c>
      <c r="AB125" s="4">
        <f t="shared" si="125"/>
        <v>0.00942016224333315</v>
      </c>
      <c r="AC125" s="67" t="str">
        <f t="shared" si="126"/>
        <v>48,576465009106-48,1880316281069i</v>
      </c>
      <c r="AD125" s="68">
        <f t="shared" si="127"/>
        <v>36.704090860294</v>
      </c>
      <c r="AE125" s="31">
        <f t="shared" si="128"/>
        <v>-44.7700037246483</v>
      </c>
      <c r="AF125" s="32" t="str">
        <f t="shared" si="129"/>
        <v>236,914774604583</v>
      </c>
      <c r="AG125" s="32" t="str">
        <f t="shared" si="110"/>
        <v>1+0,243340828837407i</v>
      </c>
      <c r="AH125" s="32">
        <f t="shared" si="130"/>
        <v>1.02918159669675</v>
      </c>
      <c r="AI125" s="32">
        <f t="shared" si="131"/>
        <v>0.238701454704135</v>
      </c>
      <c r="AJ125" s="32" t="str">
        <f t="shared" si="111"/>
        <v>1+0,0115751313176713i</v>
      </c>
      <c r="AK125" s="32">
        <f t="shared" si="132"/>
        <v>1.00006698958871</v>
      </c>
      <c r="AL125" s="32">
        <f t="shared" si="133"/>
        <v>0.0115746143997201</v>
      </c>
      <c r="AM125" s="32" t="str">
        <f t="shared" si="112"/>
        <v>1-0,000550229176760198i</v>
      </c>
      <c r="AN125" s="32">
        <f t="shared" si="134"/>
        <v>1.00000015137606</v>
      </c>
      <c r="AO125" s="32">
        <f t="shared" si="135"/>
        <v>-0.00055022912123252</v>
      </c>
      <c r="AP125" s="30" t="str">
        <f t="shared" si="136"/>
        <v>224,271686684023-51,962495916702i</v>
      </c>
      <c r="AQ125" s="32">
        <f t="shared" si="137"/>
        <v>47.2425858294327</v>
      </c>
      <c r="AR125" s="31">
        <f t="shared" si="138"/>
        <v>-13.0449351699966</v>
      </c>
      <c r="AS125" t="str">
        <f t="shared" si="113"/>
        <v>-0,000272527472527473</v>
      </c>
      <c r="AT125" t="str">
        <f t="shared" si="114"/>
        <v>0,0001658757657577i</v>
      </c>
      <c r="AU125">
        <f t="shared" si="139"/>
        <v>0.0001658757657577</v>
      </c>
      <c r="AV125">
        <f t="shared" si="140"/>
        <v>1.5707963267949</v>
      </c>
      <c r="AW125" t="str">
        <f t="shared" si="115"/>
        <v>1+0,00849253496049727i</v>
      </c>
      <c r="AX125">
        <f t="shared" si="141"/>
        <v>1.00003606092483</v>
      </c>
      <c r="AY125">
        <f t="shared" si="142"/>
        <v>0.00849233079987425</v>
      </c>
      <c r="AZ125" t="str">
        <f t="shared" si="116"/>
        <v>1+0,40601544800505i</v>
      </c>
      <c r="BA125">
        <f t="shared" si="143"/>
        <v>1.0792814943372</v>
      </c>
      <c r="BB125">
        <f t="shared" si="144"/>
        <v>0.385681327499295</v>
      </c>
      <c r="BC125" s="30" t="str">
        <f t="shared" si="145"/>
        <v>-0,653067681737714+1,64850755304814i</v>
      </c>
      <c r="BD125" s="32">
        <f t="shared" si="146"/>
        <v>4.97492835078432</v>
      </c>
      <c r="BE125" s="31">
        <f t="shared" si="147"/>
        <v>111.611337589651</v>
      </c>
      <c r="BF125" s="30" t="str">
        <f t="shared" si="148"/>
        <v>47,7146147149468+111,548715570761i</v>
      </c>
      <c r="BG125" s="68">
        <f t="shared" si="149"/>
        <v>41.6790192110783</v>
      </c>
      <c r="BH125" s="31">
        <f t="shared" si="150"/>
        <v>66.8413338650024</v>
      </c>
      <c r="BI125" s="30" t="str">
        <f t="shared" si="156"/>
        <v>-60,8040235082255+403,648596179084i</v>
      </c>
      <c r="BJ125" s="68">
        <f t="shared" si="151"/>
        <v>52.217514180217</v>
      </c>
      <c r="BK125" s="31">
        <f t="shared" si="157"/>
        <v>98.5664024196541</v>
      </c>
      <c r="BL125" s="32">
        <f t="shared" si="152"/>
        <v>41.6790192110783</v>
      </c>
      <c r="BM125" s="31">
        <f t="shared" si="153"/>
        <v>66.8413338650024</v>
      </c>
      <c r="BO125">
        <f t="shared" si="154"/>
        <v>0</v>
      </c>
      <c r="BP125">
        <f t="shared" si="155"/>
        <v>0</v>
      </c>
    </row>
    <row r="126" spans="14:68">
      <c r="N126" s="7">
        <v>8</v>
      </c>
      <c r="O126" s="18">
        <f t="shared" si="158"/>
        <v>120.226443461741</v>
      </c>
      <c r="P126" s="86" t="str">
        <f t="shared" si="105"/>
        <v>96,0576923076923</v>
      </c>
      <c r="Q126" s="4" t="str">
        <f t="shared" si="106"/>
        <v>1+1,00834948967211i</v>
      </c>
      <c r="R126" s="4">
        <f t="shared" si="118"/>
        <v>1.42012981565842</v>
      </c>
      <c r="S126" s="4">
        <f t="shared" si="119"/>
        <v>0.789555528244394</v>
      </c>
      <c r="T126" s="4" t="str">
        <f t="shared" si="107"/>
        <v>1+0,0118447507621024i</v>
      </c>
      <c r="U126" s="4">
        <f t="shared" si="120"/>
        <v>1.00007014660004</v>
      </c>
      <c r="V126" s="4">
        <f t="shared" si="121"/>
        <v>0.0118441968766367</v>
      </c>
      <c r="W126" t="str">
        <f t="shared" si="108"/>
        <v>1-0,00562357072747212i</v>
      </c>
      <c r="X126" s="4">
        <f t="shared" si="122"/>
        <v>1.00001581214885</v>
      </c>
      <c r="Y126" s="4">
        <f t="shared" si="123"/>
        <v>-0.00562351144763665</v>
      </c>
      <c r="Z126" t="str">
        <f t="shared" si="109"/>
        <v>0,999999882004917+0,00963987007081708i</v>
      </c>
      <c r="AA126" s="4">
        <f t="shared" si="124"/>
        <v>1.00004634447851</v>
      </c>
      <c r="AB126" s="4">
        <f t="shared" si="125"/>
        <v>0.00963957262310937</v>
      </c>
      <c r="AC126" s="67" t="str">
        <f t="shared" si="126"/>
        <v>47,466906563473-48,191653793407i</v>
      </c>
      <c r="AD126" s="68">
        <f t="shared" si="127"/>
        <v>36.604426139736</v>
      </c>
      <c r="AE126" s="31">
        <f t="shared" si="128"/>
        <v>-45.43408726648</v>
      </c>
      <c r="AF126" s="32" t="str">
        <f t="shared" si="129"/>
        <v>236,914774604583</v>
      </c>
      <c r="AG126" s="32" t="str">
        <f t="shared" si="110"/>
        <v>1+0,249008964885108i</v>
      </c>
      <c r="AH126" s="32">
        <f t="shared" si="130"/>
        <v>1.0305364935766</v>
      </c>
      <c r="AI126" s="32">
        <f t="shared" si="131"/>
        <v>0.244045706914677</v>
      </c>
      <c r="AJ126" s="32" t="str">
        <f t="shared" si="111"/>
        <v>1+0,0118447507621024i</v>
      </c>
      <c r="AK126" s="32">
        <f t="shared" si="132"/>
        <v>1.00007014660004</v>
      </c>
      <c r="AL126" s="32">
        <f t="shared" si="133"/>
        <v>0.0118441968766367</v>
      </c>
      <c r="AM126" s="32" t="str">
        <f t="shared" si="112"/>
        <v>1-0,000563045660727117i</v>
      </c>
      <c r="AN126" s="32">
        <f t="shared" si="134"/>
        <v>1.0000001585102</v>
      </c>
      <c r="AO126" s="32">
        <f t="shared" si="135"/>
        <v>-0.000563045601228138</v>
      </c>
      <c r="AP126" s="30" t="str">
        <f t="shared" si="136"/>
        <v>223,71062518628-53,0331485901883i</v>
      </c>
      <c r="AQ126" s="32">
        <f t="shared" si="137"/>
        <v>47.2311860321385</v>
      </c>
      <c r="AR126" s="31">
        <f t="shared" si="138"/>
        <v>-13.3364266583681</v>
      </c>
      <c r="AS126" t="str">
        <f t="shared" si="113"/>
        <v>-0,000272527472527473</v>
      </c>
      <c r="AT126" t="str">
        <f t="shared" si="114"/>
        <v>0,000169739508689057i</v>
      </c>
      <c r="AU126">
        <f t="shared" si="139"/>
        <v>0.000169739508689057</v>
      </c>
      <c r="AV126">
        <f t="shared" si="140"/>
        <v>1.5707963267949</v>
      </c>
      <c r="AW126" t="str">
        <f t="shared" si="115"/>
        <v>1+0,00869035151177614i</v>
      </c>
      <c r="AX126">
        <f t="shared" si="141"/>
        <v>1.00003776039178</v>
      </c>
      <c r="AY126">
        <f t="shared" si="142"/>
        <v>0.00869013275017333</v>
      </c>
      <c r="AZ126" t="str">
        <f t="shared" si="116"/>
        <v>1+0,415472762701297i</v>
      </c>
      <c r="BA126">
        <f t="shared" si="143"/>
        <v>1.08287470029854</v>
      </c>
      <c r="BB126">
        <f t="shared" si="144"/>
        <v>0.393773397715173</v>
      </c>
      <c r="BC126" s="30" t="str">
        <f t="shared" si="145"/>
        <v>-0,653065462089542+1,61123835510031i</v>
      </c>
      <c r="BD126" s="32">
        <f t="shared" si="146"/>
        <v>4.80378312234836</v>
      </c>
      <c r="BE126" s="31">
        <f t="shared" si="147"/>
        <v>112.063645843612</v>
      </c>
      <c r="BF126" s="30" t="str">
        <f t="shared" si="148"/>
        <v>46,6492437188171+107,952805106481i</v>
      </c>
      <c r="BG126" s="68">
        <f t="shared" si="149"/>
        <v>41.4082092620844</v>
      </c>
      <c r="BH126" s="31">
        <f t="shared" si="150"/>
        <v>66.6295585771325</v>
      </c>
      <c r="BI126" s="30" t="str">
        <f t="shared" si="156"/>
        <v>-60,648639711373+395,085257433718i</v>
      </c>
      <c r="BJ126" s="68">
        <f t="shared" si="151"/>
        <v>52.0349691544869</v>
      </c>
      <c r="BK126" s="31">
        <f t="shared" si="157"/>
        <v>98.7272191852444</v>
      </c>
      <c r="BL126" s="32">
        <f t="shared" si="152"/>
        <v>41.4082092620844</v>
      </c>
      <c r="BM126" s="31">
        <f t="shared" si="153"/>
        <v>66.6295585771325</v>
      </c>
      <c r="BO126">
        <f t="shared" si="154"/>
        <v>0</v>
      </c>
      <c r="BP126">
        <f t="shared" si="155"/>
        <v>0</v>
      </c>
    </row>
    <row r="127" spans="14:68">
      <c r="N127" s="7">
        <v>9</v>
      </c>
      <c r="O127" s="18">
        <f t="shared" si="158"/>
        <v>123.026877081238</v>
      </c>
      <c r="P127" s="86" t="str">
        <f t="shared" si="105"/>
        <v>96,0576923076923</v>
      </c>
      <c r="Q127" s="4" t="str">
        <f t="shared" si="106"/>
        <v>1+1,03183696655135i</v>
      </c>
      <c r="R127" s="4">
        <f t="shared" si="118"/>
        <v>1.43690205843749</v>
      </c>
      <c r="S127" s="4">
        <f t="shared" si="119"/>
        <v>0.801065936909398</v>
      </c>
      <c r="T127" s="4" t="str">
        <f t="shared" si="107"/>
        <v>1+0,0121206504501716i</v>
      </c>
      <c r="U127" s="4">
        <f t="shared" si="120"/>
        <v>1.00007345238604</v>
      </c>
      <c r="V127" s="4">
        <f t="shared" si="121"/>
        <v>0.0121200569535565</v>
      </c>
      <c r="W127" t="str">
        <f t="shared" si="108"/>
        <v>1-0,00575456051701741i</v>
      </c>
      <c r="X127" s="4">
        <f t="shared" si="122"/>
        <v>1.0000165573463</v>
      </c>
      <c r="Y127" s="4">
        <f t="shared" si="123"/>
        <v>-0.00575449699758609</v>
      </c>
      <c r="Z127" t="str">
        <f t="shared" si="109"/>
        <v>0,99999987644398+0,00986441148996411i</v>
      </c>
      <c r="AA127" s="4">
        <f t="shared" si="124"/>
        <v>1.0000485285735</v>
      </c>
      <c r="AB127" s="4">
        <f t="shared" si="125"/>
        <v>0.00986409276983831</v>
      </c>
      <c r="AC127" s="67" t="str">
        <f t="shared" si="126"/>
        <v>46,3577727477642-48,1697378510471i</v>
      </c>
      <c r="AD127" s="68">
        <f t="shared" si="127"/>
        <v>36.5024599263085</v>
      </c>
      <c r="AE127" s="31">
        <f t="shared" si="128"/>
        <v>-46.0981484613244</v>
      </c>
      <c r="AF127" s="32" t="str">
        <f t="shared" si="129"/>
        <v>236,914774604583</v>
      </c>
      <c r="AG127" s="32" t="str">
        <f t="shared" si="110"/>
        <v>1+0,254809128782016i</v>
      </c>
      <c r="AH127" s="32">
        <f t="shared" si="130"/>
        <v>1.03195333814599</v>
      </c>
      <c r="AI127" s="32">
        <f t="shared" si="131"/>
        <v>0.249499755255583</v>
      </c>
      <c r="AJ127" s="32" t="str">
        <f t="shared" si="111"/>
        <v>1+0,0121206504501716i</v>
      </c>
      <c r="AK127" s="32">
        <f t="shared" si="132"/>
        <v>1.00007345238604</v>
      </c>
      <c r="AL127" s="32">
        <f t="shared" si="133"/>
        <v>0.0121200569535565</v>
      </c>
      <c r="AM127" s="32" t="str">
        <f t="shared" si="112"/>
        <v>1-0,000576160678956147i</v>
      </c>
      <c r="AN127" s="32">
        <f t="shared" si="134"/>
        <v>1.00000016598055</v>
      </c>
      <c r="AO127" s="32">
        <f t="shared" si="135"/>
        <v>-0.000576160615201843</v>
      </c>
      <c r="AP127" s="30" t="str">
        <f t="shared" si="136"/>
        <v>223,126273408275-54,1195511434681i</v>
      </c>
      <c r="AQ127" s="32">
        <f t="shared" si="137"/>
        <v>47.2192811183071</v>
      </c>
      <c r="AR127" s="31">
        <f t="shared" si="138"/>
        <v>-13.6338664263677</v>
      </c>
      <c r="AS127" t="str">
        <f t="shared" si="113"/>
        <v>-0,000272527472527473</v>
      </c>
      <c r="AT127" t="str">
        <f t="shared" si="114"/>
        <v>0,000173693249754691i</v>
      </c>
      <c r="AU127">
        <f t="shared" si="139"/>
        <v>0.000173693249754691</v>
      </c>
      <c r="AV127">
        <f t="shared" si="140"/>
        <v>1.5707963267949</v>
      </c>
      <c r="AW127" t="str">
        <f t="shared" si="115"/>
        <v>1+0,008892775802457i</v>
      </c>
      <c r="AX127">
        <f t="shared" si="141"/>
        <v>1.00003953994903</v>
      </c>
      <c r="AY127">
        <f t="shared" si="142"/>
        <v>0.0088925413956769</v>
      </c>
      <c r="AZ127" t="str">
        <f t="shared" si="116"/>
        <v>1+0,425150366555763i</v>
      </c>
      <c r="BA127">
        <f t="shared" si="143"/>
        <v>1.08662451388808</v>
      </c>
      <c r="BB127">
        <f t="shared" si="144"/>
        <v>0.401998002372152</v>
      </c>
      <c r="BC127" s="30" t="str">
        <f t="shared" si="145"/>
        <v>-0,653063137848744+1,57482345523708i</v>
      </c>
      <c r="BD127" s="32">
        <f t="shared" si="146"/>
        <v>4.63379348866293</v>
      </c>
      <c r="BE127" s="31">
        <f t="shared" si="147"/>
        <v>112.523283817497</v>
      </c>
      <c r="BF127" s="30" t="str">
        <f t="shared" si="148"/>
        <v>45,5842804661165+104,463188006086i</v>
      </c>
      <c r="BG127" s="68">
        <f t="shared" si="149"/>
        <v>41.1362534149715</v>
      </c>
      <c r="BH127" s="31">
        <f t="shared" si="150"/>
        <v>66.4251353561723</v>
      </c>
      <c r="BI127" s="30" t="str">
        <f t="shared" si="156"/>
        <v>-60,4868057208685+386,727972731712i</v>
      </c>
      <c r="BJ127" s="68">
        <f t="shared" si="151"/>
        <v>51.8530746069701</v>
      </c>
      <c r="BK127" s="31">
        <f t="shared" si="157"/>
        <v>98.889417391129</v>
      </c>
      <c r="BL127" s="32">
        <f t="shared" si="152"/>
        <v>41.1362534149715</v>
      </c>
      <c r="BM127" s="31">
        <f t="shared" si="153"/>
        <v>66.4251353561723</v>
      </c>
      <c r="BO127">
        <f t="shared" si="154"/>
        <v>0</v>
      </c>
      <c r="BP127">
        <f t="shared" si="155"/>
        <v>0</v>
      </c>
    </row>
    <row r="128" spans="14:68">
      <c r="N128" s="7">
        <v>10</v>
      </c>
      <c r="O128" s="18">
        <f t="shared" si="158"/>
        <v>125.892541179417</v>
      </c>
      <c r="P128" s="86" t="str">
        <f t="shared" si="105"/>
        <v>96,0576923076923</v>
      </c>
      <c r="Q128" s="4" t="str">
        <f t="shared" si="106"/>
        <v>1+1,05587153704823i</v>
      </c>
      <c r="R128" s="4">
        <f t="shared" si="118"/>
        <v>1.45425744032774</v>
      </c>
      <c r="S128" s="4">
        <f t="shared" si="119"/>
        <v>0.812568045948578</v>
      </c>
      <c r="T128" s="4" t="str">
        <f t="shared" si="107"/>
        <v>1+0,0124029766675452i</v>
      </c>
      <c r="U128" s="4">
        <f t="shared" si="120"/>
        <v>1.00007691395723</v>
      </c>
      <c r="V128" s="4">
        <f t="shared" si="121"/>
        <v>0.012402340727106</v>
      </c>
      <c r="W128" t="str">
        <f t="shared" si="108"/>
        <v>1-0,00588860145071945i</v>
      </c>
      <c r="X128" s="4">
        <f t="shared" si="122"/>
        <v>1.00001733766323</v>
      </c>
      <c r="Y128" s="4">
        <f t="shared" si="123"/>
        <v>-0.00588853338848626</v>
      </c>
      <c r="Z128" t="str">
        <f t="shared" si="109"/>
        <v>0,999999870620964+0,0100941831506541i</v>
      </c>
      <c r="AA128" s="4">
        <f t="shared" si="124"/>
        <v>1.0000508155966</v>
      </c>
      <c r="AB128" s="4">
        <f t="shared" si="125"/>
        <v>0.0100938416368236</v>
      </c>
      <c r="AC128" s="67" t="str">
        <f t="shared" si="126"/>
        <v>45,2502377038216-48,122342071489i</v>
      </c>
      <c r="AD128" s="68">
        <f t="shared" si="127"/>
        <v>36.3981943546679</v>
      </c>
      <c r="AE128" s="31">
        <f t="shared" si="128"/>
        <v>-46.761840455845</v>
      </c>
      <c r="AF128" s="32" t="str">
        <f t="shared" si="129"/>
        <v>236,914774604583</v>
      </c>
      <c r="AG128" s="32" t="str">
        <f t="shared" si="110"/>
        <v>1+0,260744395851802i</v>
      </c>
      <c r="AH128" s="32">
        <f t="shared" si="130"/>
        <v>1.03343487456546</v>
      </c>
      <c r="AI128" s="32">
        <f t="shared" si="131"/>
        <v>0.255065193065968</v>
      </c>
      <c r="AJ128" s="32" t="str">
        <f t="shared" si="111"/>
        <v>1+0,0124029766675452i</v>
      </c>
      <c r="AK128" s="32">
        <f t="shared" si="132"/>
        <v>1.00007691395723</v>
      </c>
      <c r="AL128" s="32">
        <f t="shared" si="133"/>
        <v>0.012402340727106</v>
      </c>
      <c r="AM128" s="32" t="str">
        <f t="shared" si="112"/>
        <v>1-0,000589581185203548i</v>
      </c>
      <c r="AN128" s="32">
        <f t="shared" si="134"/>
        <v>1.00000017380297</v>
      </c>
      <c r="AO128" s="32">
        <f t="shared" si="135"/>
        <v>-0.000589581116889581</v>
      </c>
      <c r="AP128" s="30" t="str">
        <f t="shared" si="136"/>
        <v>222,517809399085-55,2215038500172i</v>
      </c>
      <c r="AQ128" s="32">
        <f t="shared" si="137"/>
        <v>47.2068501900223</v>
      </c>
      <c r="AR128" s="31">
        <f t="shared" si="138"/>
        <v>-13.9373377933015</v>
      </c>
      <c r="AS128" t="str">
        <f t="shared" si="113"/>
        <v>-0,000272527472527473</v>
      </c>
      <c r="AT128" t="str">
        <f t="shared" si="114"/>
        <v>0,000177739085280447i</v>
      </c>
      <c r="AU128">
        <f t="shared" si="139"/>
        <v>0.000177739085280447</v>
      </c>
      <c r="AV128">
        <f t="shared" si="140"/>
        <v>1.5707963267949</v>
      </c>
      <c r="AW128" t="str">
        <f t="shared" si="115"/>
        <v>1+0,00909991516057814i</v>
      </c>
      <c r="AX128">
        <f t="shared" si="141"/>
        <v>1.00004140337085</v>
      </c>
      <c r="AY128">
        <f t="shared" si="142"/>
        <v>0.00909966398974962</v>
      </c>
      <c r="AZ128" t="str">
        <f t="shared" si="116"/>
        <v>1+0,435053390762107i</v>
      </c>
      <c r="BA128">
        <f t="shared" si="143"/>
        <v>1.09053723128264</v>
      </c>
      <c r="BB128">
        <f t="shared" si="144"/>
        <v>0.410355050444407</v>
      </c>
      <c r="BC128" s="30" t="str">
        <f t="shared" si="145"/>
        <v>-0,653060704087584+1,53924354566652i</v>
      </c>
      <c r="BD128" s="32">
        <f t="shared" si="146"/>
        <v>4.46499727924158</v>
      </c>
      <c r="BE128" s="31">
        <f t="shared" si="147"/>
        <v>112.990240150743</v>
      </c>
      <c r="BF128" s="30" t="str">
        <f t="shared" si="148"/>
        <v>44,5208523409076+101,077946921033i</v>
      </c>
      <c r="BG128" s="68">
        <f t="shared" si="149"/>
        <v>40.8631916339095</v>
      </c>
      <c r="BH128" s="31">
        <f t="shared" si="150"/>
        <v>66.2283996948976</v>
      </c>
      <c r="BI128" s="30" t="str">
        <f t="shared" si="156"/>
        <v>-60,3182938950554+378,572096098462i</v>
      </c>
      <c r="BJ128" s="68">
        <f t="shared" si="151"/>
        <v>51.6718474692639</v>
      </c>
      <c r="BK128" s="31">
        <f t="shared" si="157"/>
        <v>99.0529023574412</v>
      </c>
      <c r="BL128" s="32">
        <f t="shared" si="152"/>
        <v>40.8631916339095</v>
      </c>
      <c r="BM128" s="31">
        <f t="shared" si="153"/>
        <v>66.2283996948976</v>
      </c>
      <c r="BO128">
        <f t="shared" si="154"/>
        <v>0</v>
      </c>
      <c r="BP128">
        <f t="shared" si="155"/>
        <v>0</v>
      </c>
    </row>
    <row r="129" spans="14:68">
      <c r="N129" s="7">
        <v>11</v>
      </c>
      <c r="O129" s="18">
        <f t="shared" si="158"/>
        <v>128.824955169313</v>
      </c>
      <c r="P129" s="86" t="str">
        <f t="shared" si="105"/>
        <v>96,0576923076923</v>
      </c>
      <c r="Q129" s="4" t="str">
        <f t="shared" si="106"/>
        <v>1+1,08046594461016i</v>
      </c>
      <c r="R129" s="4">
        <f t="shared" si="118"/>
        <v>1.47221148530445</v>
      </c>
      <c r="S129" s="4">
        <f t="shared" si="119"/>
        <v>0.824055781297427</v>
      </c>
      <c r="T129" s="4" t="str">
        <f t="shared" si="107"/>
        <v>1+0,0126918791073206i</v>
      </c>
      <c r="U129" s="4">
        <f t="shared" si="120"/>
        <v>1.0000805386544</v>
      </c>
      <c r="V129" s="4">
        <f t="shared" si="121"/>
        <v>0.0126911976878268</v>
      </c>
      <c r="W129" t="str">
        <f t="shared" si="108"/>
        <v>1-0,00602576459885546i</v>
      </c>
      <c r="X129" s="4">
        <f t="shared" si="122"/>
        <v>1.0000181547547</v>
      </c>
      <c r="Y129" s="4">
        <f t="shared" si="123"/>
        <v>-0.00602569166893015</v>
      </c>
      <c r="Z129" t="str">
        <f t="shared" si="109"/>
        <v>0,999999864523518+0,0103293068808627i</v>
      </c>
      <c r="AA129" s="4">
        <f t="shared" si="124"/>
        <v>1.00005321039817</v>
      </c>
      <c r="AB129" s="4">
        <f t="shared" si="125"/>
        <v>0.0103289409432519</v>
      </c>
      <c r="AC129" s="67" t="str">
        <f t="shared" si="126"/>
        <v>44,1454688095615-48,0495919803539i</v>
      </c>
      <c r="AD129" s="68">
        <f t="shared" si="127"/>
        <v>36.2916339914137</v>
      </c>
      <c r="AE129" s="31">
        <f t="shared" si="128"/>
        <v>-47.4248177113846</v>
      </c>
      <c r="AF129" s="32" t="str">
        <f t="shared" si="129"/>
        <v>236,914774604583</v>
      </c>
      <c r="AG129" s="32" t="str">
        <f t="shared" si="110"/>
        <v>1+0,266817913051626i</v>
      </c>
      <c r="AH129" s="32">
        <f t="shared" si="130"/>
        <v>1.03498396061254</v>
      </c>
      <c r="AI129" s="32">
        <f t="shared" si="131"/>
        <v>0.260743591560752</v>
      </c>
      <c r="AJ129" s="32" t="str">
        <f t="shared" si="111"/>
        <v>1+0,0126918791073206i</v>
      </c>
      <c r="AK129" s="32">
        <f t="shared" si="132"/>
        <v>1.0000805386544</v>
      </c>
      <c r="AL129" s="32">
        <f t="shared" si="133"/>
        <v>0.0126911976878268</v>
      </c>
      <c r="AM129" s="32" t="str">
        <f t="shared" si="112"/>
        <v>1-0,000603314295199369i</v>
      </c>
      <c r="AN129" s="32">
        <f t="shared" si="134"/>
        <v>1.00000018199405</v>
      </c>
      <c r="AO129" s="32">
        <f t="shared" si="135"/>
        <v>-0.000603314221999636</v>
      </c>
      <c r="AP129" s="30" t="str">
        <f t="shared" si="136"/>
        <v>221,884395226869-56,3387716653988i</v>
      </c>
      <c r="AQ129" s="32">
        <f t="shared" si="137"/>
        <v>47.1938716182211</v>
      </c>
      <c r="AR129" s="31">
        <f t="shared" si="138"/>
        <v>-14.2469226256762</v>
      </c>
      <c r="AS129" t="str">
        <f t="shared" si="113"/>
        <v>-0,000272527472527473</v>
      </c>
      <c r="AT129" t="str">
        <f t="shared" si="114"/>
        <v>0,000181879160421871i</v>
      </c>
      <c r="AU129">
        <f t="shared" si="139"/>
        <v>0.000181879160421871</v>
      </c>
      <c r="AV129">
        <f t="shared" si="140"/>
        <v>1.5707963267949</v>
      </c>
      <c r="AW129" t="str">
        <f t="shared" si="115"/>
        <v>1+0,00931187941416894i</v>
      </c>
      <c r="AX129">
        <f t="shared" si="141"/>
        <v>1.0000433546093</v>
      </c>
      <c r="AY129">
        <f t="shared" si="142"/>
        <v>0.00931161028040742</v>
      </c>
      <c r="AZ129" t="str">
        <f t="shared" si="116"/>
        <v>1+0,445187086034842i</v>
      </c>
      <c r="BA129">
        <f t="shared" si="143"/>
        <v>1.0946193592168</v>
      </c>
      <c r="BB129">
        <f t="shared" si="144"/>
        <v>0.418844302631552</v>
      </c>
      <c r="BC129" s="30" t="str">
        <f t="shared" si="145"/>
        <v>-0,653058155646241+1,5044797613103i</v>
      </c>
      <c r="BD129" s="32">
        <f t="shared" si="146"/>
        <v>4.29743288374594</v>
      </c>
      <c r="BE129" s="31">
        <f t="shared" si="147"/>
        <v>113.46449484435</v>
      </c>
      <c r="BF129" s="30" t="str">
        <f t="shared" si="148"/>
        <v>43,4600802327493+97,7951422957847i</v>
      </c>
      <c r="BG129" s="68">
        <f t="shared" si="149"/>
        <v>40.5890668751596</v>
      </c>
      <c r="BH129" s="31">
        <f t="shared" si="150"/>
        <v>66.0396771329656</v>
      </c>
      <c r="BI129" s="30" t="str">
        <f t="shared" si="156"/>
        <v>-60,142872165866+370,61307628458i</v>
      </c>
      <c r="BJ129" s="68">
        <f t="shared" si="151"/>
        <v>51.4913045019671</v>
      </c>
      <c r="BK129" s="31">
        <f t="shared" si="157"/>
        <v>99.217572218674</v>
      </c>
      <c r="BL129" s="32">
        <f t="shared" si="152"/>
        <v>40.5890668751596</v>
      </c>
      <c r="BM129" s="31">
        <f t="shared" si="153"/>
        <v>66.0396771329656</v>
      </c>
      <c r="BO129">
        <f t="shared" si="154"/>
        <v>0</v>
      </c>
      <c r="BP129">
        <f t="shared" si="155"/>
        <v>0</v>
      </c>
    </row>
    <row r="130" spans="14:68">
      <c r="N130" s="7">
        <v>12</v>
      </c>
      <c r="O130" s="18">
        <f t="shared" si="158"/>
        <v>131.825673855641</v>
      </c>
      <c r="P130" s="86" t="str">
        <f t="shared" si="105"/>
        <v>96,0576923076923</v>
      </c>
      <c r="Q130" s="4" t="str">
        <f t="shared" si="106"/>
        <v>1+1,10563322951759i</v>
      </c>
      <c r="R130" s="4">
        <f t="shared" si="118"/>
        <v>1.49077994292031</v>
      </c>
      <c r="S130" s="4">
        <f t="shared" si="119"/>
        <v>0.83552310682814</v>
      </c>
      <c r="T130" s="4" t="str">
        <f t="shared" si="107"/>
        <v>1+0,0129875109493958i</v>
      </c>
      <c r="U130" s="4">
        <f t="shared" si="120"/>
        <v>1.0000843341642</v>
      </c>
      <c r="V130" s="4">
        <f t="shared" si="121"/>
        <v>0.0129867807985787</v>
      </c>
      <c r="W130" t="str">
        <f t="shared" si="108"/>
        <v>1-0,00616612268714228i</v>
      </c>
      <c r="X130" s="4">
        <f t="shared" si="122"/>
        <v>1.0000190103538</v>
      </c>
      <c r="Y130" s="4">
        <f t="shared" si="123"/>
        <v>-0.00616604454139961</v>
      </c>
      <c r="Z130" t="str">
        <f t="shared" si="109"/>
        <v>0,999999858138708+0,0105699073463042i</v>
      </c>
      <c r="AA130" s="4">
        <f t="shared" si="124"/>
        <v>1.00005571805712</v>
      </c>
      <c r="AB130" s="4">
        <f t="shared" si="125"/>
        <v>0.0105695152382696</v>
      </c>
      <c r="AC130" s="67" t="str">
        <f t="shared" si="126"/>
        <v>43,044621774997-47,9516795507417i</v>
      </c>
      <c r="AD130" s="68">
        <f t="shared" si="127"/>
        <v>36.1827858160265</v>
      </c>
      <c r="AE130" s="31">
        <f t="shared" si="128"/>
        <v>-48.0867369208546</v>
      </c>
      <c r="AF130" s="32" t="str">
        <f t="shared" si="129"/>
        <v>236,914774604583</v>
      </c>
      <c r="AG130" s="32" t="str">
        <f t="shared" si="110"/>
        <v>1+0,273032900640706i</v>
      </c>
      <c r="AH130" s="32">
        <f t="shared" si="130"/>
        <v>1.03660357168605</v>
      </c>
      <c r="AI130" s="32">
        <f t="shared" si="131"/>
        <v>0.266536496133042</v>
      </c>
      <c r="AJ130" s="32" t="str">
        <f t="shared" si="111"/>
        <v>1+0,0129875109493958i</v>
      </c>
      <c r="AK130" s="32">
        <f t="shared" si="132"/>
        <v>1.0000843341642</v>
      </c>
      <c r="AL130" s="32">
        <f t="shared" si="133"/>
        <v>0.0129867807985787</v>
      </c>
      <c r="AM130" s="32" t="str">
        <f t="shared" si="112"/>
        <v>1-0,00061736729042032i</v>
      </c>
      <c r="AN130" s="32">
        <f t="shared" si="134"/>
        <v>1.00000019057117</v>
      </c>
      <c r="AO130" s="32">
        <f t="shared" si="135"/>
        <v>-0.000617367211985394</v>
      </c>
      <c r="AP130" s="30" t="str">
        <f t="shared" si="136"/>
        <v>221,225177919568-57,4710822253434i</v>
      </c>
      <c r="AQ130" s="32">
        <f t="shared" si="137"/>
        <v>47.1803230291021</v>
      </c>
      <c r="AR130" s="31">
        <f t="shared" si="138"/>
        <v>-14.5627011210647</v>
      </c>
      <c r="AS130" t="str">
        <f t="shared" si="113"/>
        <v>-0,000272527472527473</v>
      </c>
      <c r="AT130" t="str">
        <f t="shared" si="114"/>
        <v>0,000186115670301609i</v>
      </c>
      <c r="AU130">
        <f t="shared" si="139"/>
        <v>0.000186115670301609</v>
      </c>
      <c r="AV130">
        <f t="shared" si="140"/>
        <v>1.5707963267949</v>
      </c>
      <c r="AW130" t="str">
        <f t="shared" si="115"/>
        <v>1+0,00952878094948255i</v>
      </c>
      <c r="AX130">
        <f t="shared" si="141"/>
        <v>1.00004539780271</v>
      </c>
      <c r="AY130">
        <f t="shared" si="142"/>
        <v>0.00952849256816843</v>
      </c>
      <c r="AZ130" t="str">
        <f t="shared" si="116"/>
        <v>1+0,455556825393346i</v>
      </c>
      <c r="BA130">
        <f t="shared" si="143"/>
        <v>1.09887761882862</v>
      </c>
      <c r="BB130">
        <f t="shared" si="144"/>
        <v>0.427465364613342</v>
      </c>
      <c r="BC130" s="30" t="str">
        <f t="shared" si="145"/>
        <v>-0,653055487121871+1,47051366980047i</v>
      </c>
      <c r="BD130" s="32">
        <f t="shared" si="146"/>
        <v>4.13113920455956</v>
      </c>
      <c r="BE130" s="31">
        <f t="shared" si="147"/>
        <v>113.946018871088</v>
      </c>
      <c r="BF130" s="30" t="str">
        <f t="shared" si="148"/>
        <v>42,40307382801+94,6128121788455i</v>
      </c>
      <c r="BG130" s="68">
        <f t="shared" si="149"/>
        <v>40.3139250205861</v>
      </c>
      <c r="BH130" s="31">
        <f t="shared" si="150"/>
        <v>65.8592819502329</v>
      </c>
      <c r="BI130" s="30" t="str">
        <f t="shared" si="156"/>
        <v>-59,9603042992918+362,846453832859i</v>
      </c>
      <c r="BJ130" s="68">
        <f t="shared" si="151"/>
        <v>51.3114622336616</v>
      </c>
      <c r="BK130" s="31">
        <f t="shared" si="157"/>
        <v>99.3833177500228</v>
      </c>
      <c r="BL130" s="32">
        <f t="shared" si="152"/>
        <v>40.3139250205861</v>
      </c>
      <c r="BM130" s="31">
        <f t="shared" si="153"/>
        <v>65.8592819502329</v>
      </c>
      <c r="BO130">
        <f t="shared" si="154"/>
        <v>0</v>
      </c>
      <c r="BP130">
        <f t="shared" si="155"/>
        <v>0</v>
      </c>
    </row>
    <row r="131" spans="14:68">
      <c r="N131" s="7">
        <v>13</v>
      </c>
      <c r="O131" s="18">
        <f t="shared" si="158"/>
        <v>134.896288259165</v>
      </c>
      <c r="P131" s="86" t="str">
        <f t="shared" si="105"/>
        <v>96,0576923076923</v>
      </c>
      <c r="Q131" s="4" t="str">
        <f t="shared" si="106"/>
        <v>1+1,13138673579808i</v>
      </c>
      <c r="R131" s="4">
        <f t="shared" si="118"/>
        <v>1.50997878989734</v>
      </c>
      <c r="S131" s="4">
        <f t="shared" si="119"/>
        <v>0.846964040085469</v>
      </c>
      <c r="T131" s="4" t="str">
        <f t="shared" si="107"/>
        <v>1+0,0132900289416862i</v>
      </c>
      <c r="U131" s="4">
        <f t="shared" si="120"/>
        <v>1.00008830853544</v>
      </c>
      <c r="V131" s="4">
        <f t="shared" si="121"/>
        <v>0.013289246574721</v>
      </c>
      <c r="W131" t="str">
        <f t="shared" si="108"/>
        <v>1-0,00630975013529603i</v>
      </c>
      <c r="X131" s="4">
        <f t="shared" si="122"/>
        <v>1.00001990627526</v>
      </c>
      <c r="Y131" s="4">
        <f t="shared" si="123"/>
        <v>-0.00630966640071416</v>
      </c>
      <c r="Z131" t="str">
        <f t="shared" si="109"/>
        <v>0,999999851452991+0,0108161121165299i</v>
      </c>
      <c r="AA131" s="4">
        <f t="shared" si="124"/>
        <v>1.00005834389166</v>
      </c>
      <c r="AB131" s="4">
        <f t="shared" si="125"/>
        <v>0.0108156919665249</v>
      </c>
      <c r="AC131" s="67" t="str">
        <f t="shared" si="126"/>
        <v>41,9488358425473-47,828861973258i</v>
      </c>
      <c r="AD131" s="68">
        <f t="shared" si="127"/>
        <v>36.071659191735</v>
      </c>
      <c r="AE131" s="31">
        <f t="shared" si="128"/>
        <v>-48.747257911698</v>
      </c>
      <c r="AF131" s="32" t="str">
        <f t="shared" si="129"/>
        <v>236,914774604583</v>
      </c>
      <c r="AG131" s="32" t="str">
        <f t="shared" si="110"/>
        <v>1+0,279392653887721i</v>
      </c>
      <c r="AH131" s="32">
        <f t="shared" si="130"/>
        <v>1.03829680489079</v>
      </c>
      <c r="AI131" s="32">
        <f t="shared" si="131"/>
        <v>0.272445422450759</v>
      </c>
      <c r="AJ131" s="32" t="str">
        <f t="shared" si="111"/>
        <v>1+0,0132900289416862i</v>
      </c>
      <c r="AK131" s="32">
        <f t="shared" si="132"/>
        <v>1.00008830853544</v>
      </c>
      <c r="AL131" s="32">
        <f t="shared" si="133"/>
        <v>0.013289246574721</v>
      </c>
      <c r="AM131" s="32" t="str">
        <f t="shared" si="112"/>
        <v>1-0,000631747621950468i</v>
      </c>
      <c r="AN131" s="32">
        <f t="shared" si="134"/>
        <v>1.00000019955251</v>
      </c>
      <c r="AO131" s="32">
        <f t="shared" si="135"/>
        <v>-0.000631747537905931</v>
      </c>
      <c r="AP131" s="30" t="str">
        <f t="shared" si="136"/>
        <v>220,539290551206-58,6181238078701i</v>
      </c>
      <c r="AQ131" s="32">
        <f t="shared" si="137"/>
        <v>47.166181291435</v>
      </c>
      <c r="AR131" s="31">
        <f t="shared" si="138"/>
        <v>-14.8847515800869</v>
      </c>
      <c r="AS131" t="str">
        <f t="shared" si="113"/>
        <v>-0,000272527472527473</v>
      </c>
      <c r="AT131" t="str">
        <f t="shared" si="114"/>
        <v>0,000190450861173271i</v>
      </c>
      <c r="AU131">
        <f t="shared" si="139"/>
        <v>0.000190450861173271</v>
      </c>
      <c r="AV131">
        <f t="shared" si="140"/>
        <v>1.5707963267949</v>
      </c>
      <c r="AW131" t="str">
        <f t="shared" si="115"/>
        <v>1+0,0097507347705838i</v>
      </c>
      <c r="AX131">
        <f t="shared" si="141"/>
        <v>1.00004753728439</v>
      </c>
      <c r="AY131">
        <f t="shared" si="142"/>
        <v>0.00975042576523177</v>
      </c>
      <c r="AZ131" t="str">
        <f t="shared" si="116"/>
        <v>1+0,466168107010676i</v>
      </c>
      <c r="BA131">
        <f t="shared" si="143"/>
        <v>1.10331894934961</v>
      </c>
      <c r="BB131">
        <f t="shared" si="144"/>
        <v>0.436217680426432</v>
      </c>
      <c r="BC131" s="30" t="str">
        <f t="shared" si="145"/>
        <v>-0,653052692857198+1,43732726170577i</v>
      </c>
      <c r="BD131" s="32">
        <f t="shared" si="146"/>
        <v>3.9661556045668</v>
      </c>
      <c r="BE131" s="31">
        <f t="shared" si="147"/>
        <v>114.434773792618</v>
      </c>
      <c r="BF131" s="30" t="str">
        <f t="shared" si="148"/>
        <v>41,3509270013261+91,5289724612447i</v>
      </c>
      <c r="BG131" s="68">
        <f t="shared" si="149"/>
        <v>40.0378147963018</v>
      </c>
      <c r="BH131" s="31">
        <f t="shared" si="150"/>
        <v>65.6875158809197</v>
      </c>
      <c r="BI131" s="30" t="str">
        <f t="shared" si="156"/>
        <v>-59,7703501961854+355,267858189464i</v>
      </c>
      <c r="BJ131" s="68">
        <f t="shared" si="151"/>
        <v>51.1323368960018</v>
      </c>
      <c r="BK131" s="31">
        <f t="shared" si="157"/>
        <v>99.5500222125309</v>
      </c>
      <c r="BL131" s="32">
        <f t="shared" si="152"/>
        <v>40.0378147963018</v>
      </c>
      <c r="BM131" s="31">
        <f t="shared" si="153"/>
        <v>65.6875158809197</v>
      </c>
      <c r="BO131">
        <f t="shared" si="154"/>
        <v>0</v>
      </c>
      <c r="BP131">
        <f t="shared" si="155"/>
        <v>0</v>
      </c>
    </row>
    <row r="132" spans="14:68">
      <c r="N132" s="7">
        <v>14</v>
      </c>
      <c r="O132" s="18">
        <f t="shared" si="158"/>
        <v>138.038426460289</v>
      </c>
      <c r="P132" s="86" t="str">
        <f t="shared" si="105"/>
        <v>96,0576923076923</v>
      </c>
      <c r="Q132" s="4" t="str">
        <f t="shared" si="106"/>
        <v>1+1,15774011830158i</v>
      </c>
      <c r="R132" s="4">
        <f t="shared" si="118"/>
        <v>1.52982423223224</v>
      </c>
      <c r="S132" s="4">
        <f t="shared" si="119"/>
        <v>0.858372667679729</v>
      </c>
      <c r="T132" s="4" t="str">
        <f t="shared" si="107"/>
        <v>1+0,013599593483236i</v>
      </c>
      <c r="U132" s="4">
        <f t="shared" si="120"/>
        <v>1.00009247019609</v>
      </c>
      <c r="V132" s="4">
        <f t="shared" si="121"/>
        <v>0.0135987551661153</v>
      </c>
      <c r="W132" t="str">
        <f t="shared" si="108"/>
        <v>1-0,00645672309649101i</v>
      </c>
      <c r="X132" s="4">
        <f t="shared" si="122"/>
        <v>1.00002084441933</v>
      </c>
      <c r="Y132" s="4">
        <f t="shared" si="123"/>
        <v>-0.00645663337337103</v>
      </c>
      <c r="Z132" t="str">
        <f t="shared" si="109"/>
        <v>0,999999844452186+0,0110680517325681i</v>
      </c>
      <c r="AA132" s="4">
        <f t="shared" si="124"/>
        <v>1.00006109347057</v>
      </c>
      <c r="AB132" s="4">
        <f t="shared" si="125"/>
        <v>0.011067601535212</v>
      </c>
      <c r="AC132" s="67" t="str">
        <f t="shared" si="126"/>
        <v>40,8592291336267-47,6814600183615i</v>
      </c>
      <c r="AD132" s="68">
        <f t="shared" si="127"/>
        <v>35.9582658265693</v>
      </c>
      <c r="AE132" s="31">
        <f t="shared" si="128"/>
        <v>-49.4060445292414</v>
      </c>
      <c r="AF132" s="32" t="str">
        <f t="shared" si="129"/>
        <v>236,914774604583</v>
      </c>
      <c r="AG132" s="32" t="str">
        <f t="shared" si="110"/>
        <v>1+0,285900544818029i</v>
      </c>
      <c r="AH132" s="32">
        <f t="shared" si="130"/>
        <v>1.04006688319898</v>
      </c>
      <c r="AI132" s="32">
        <f t="shared" si="131"/>
        <v>0.278471852344303</v>
      </c>
      <c r="AJ132" s="32" t="str">
        <f t="shared" si="111"/>
        <v>1+0,013599593483236i</v>
      </c>
      <c r="AK132" s="32">
        <f t="shared" si="132"/>
        <v>1.00009247019609</v>
      </c>
      <c r="AL132" s="32">
        <f t="shared" si="133"/>
        <v>0.0135987551661153</v>
      </c>
      <c r="AM132" s="32" t="str">
        <f t="shared" si="112"/>
        <v>1-0,000646462914431949i</v>
      </c>
      <c r="AN132" s="32">
        <f t="shared" si="134"/>
        <v>1.00000020895713</v>
      </c>
      <c r="AO132" s="32">
        <f t="shared" si="135"/>
        <v>-0.000646462824376606</v>
      </c>
      <c r="AP132" s="30" t="str">
        <f t="shared" si="136"/>
        <v>219,825853483332-59,779543266841i</v>
      </c>
      <c r="AQ132" s="32">
        <f t="shared" si="137"/>
        <v>47.1514225049067</v>
      </c>
      <c r="AR132" s="31">
        <f t="shared" si="138"/>
        <v>-15.2131501663176</v>
      </c>
      <c r="AS132" t="str">
        <f t="shared" si="113"/>
        <v>-0,000272527472527473</v>
      </c>
      <c r="AT132" t="str">
        <f t="shared" si="114"/>
        <v>0,000194887031612444i</v>
      </c>
      <c r="AU132">
        <f t="shared" si="139"/>
        <v>0.000194887031612444</v>
      </c>
      <c r="AV132">
        <f t="shared" si="140"/>
        <v>1.5707963267949</v>
      </c>
      <c r="AW132" t="str">
        <f t="shared" si="115"/>
        <v>1+0,00997785856032675i</v>
      </c>
      <c r="AX132">
        <f t="shared" si="141"/>
        <v>1.00004977759182</v>
      </c>
      <c r="AY132">
        <f t="shared" si="142"/>
        <v>0.00997752745601673</v>
      </c>
      <c r="AZ132" t="str">
        <f t="shared" si="116"/>
        <v>1+0,477026557128812i</v>
      </c>
      <c r="BA132">
        <f t="shared" si="143"/>
        <v>1.10795051162323</v>
      </c>
      <c r="BB132">
        <f t="shared" si="144"/>
        <v>0.445100526007049</v>
      </c>
      <c r="BC132" s="30" t="str">
        <f t="shared" si="145"/>
        <v>-0,653049766928515+1,40490294098193i</v>
      </c>
      <c r="BD132" s="32">
        <f t="shared" si="146"/>
        <v>3.80252185004717</v>
      </c>
      <c r="BE132" s="31">
        <f t="shared" si="147"/>
        <v>114.930711386051</v>
      </c>
      <c r="BF132" s="30" t="str">
        <f t="shared" si="148"/>
        <v>40,3047133475147+88,541617527889i</v>
      </c>
      <c r="BG132" s="68">
        <f t="shared" si="149"/>
        <v>39.7607876766165</v>
      </c>
      <c r="BH132" s="31">
        <f t="shared" si="150"/>
        <v>65.5246668568097</v>
      </c>
      <c r="BI132" s="30" t="str">
        <f t="shared" si="156"/>
        <v>-59,5727662360104+347,8730048601i</v>
      </c>
      <c r="BJ132" s="68">
        <f t="shared" si="151"/>
        <v>50.9539443549539</v>
      </c>
      <c r="BK132" s="31">
        <f t="shared" si="157"/>
        <v>99.7175612197336</v>
      </c>
      <c r="BL132" s="32">
        <f t="shared" si="152"/>
        <v>39.7607876766165</v>
      </c>
      <c r="BM132" s="31">
        <f t="shared" si="153"/>
        <v>65.5246668568097</v>
      </c>
      <c r="BO132">
        <f t="shared" si="154"/>
        <v>0</v>
      </c>
      <c r="BP132">
        <f t="shared" si="155"/>
        <v>0</v>
      </c>
    </row>
    <row r="133" spans="14:68">
      <c r="N133" s="7">
        <v>15</v>
      </c>
      <c r="O133" s="18">
        <f t="shared" si="158"/>
        <v>141.253754462275</v>
      </c>
      <c r="P133" s="86" t="str">
        <f t="shared" si="105"/>
        <v>96,0576923076923</v>
      </c>
      <c r="Q133" s="4" t="str">
        <f t="shared" si="106"/>
        <v>1+1,18470734994029i</v>
      </c>
      <c r="R133" s="4">
        <f t="shared" si="118"/>
        <v>1.5503327078413</v>
      </c>
      <c r="S133" s="4">
        <f t="shared" si="119"/>
        <v>0.869743160241657</v>
      </c>
      <c r="T133" s="4" t="str">
        <f t="shared" si="107"/>
        <v>1+0,0139163687092623i</v>
      </c>
      <c r="U133" s="4">
        <f t="shared" si="120"/>
        <v>1.0000968279712</v>
      </c>
      <c r="V133" s="4">
        <f t="shared" si="121"/>
        <v>0.0139154704409806</v>
      </c>
      <c r="W133" t="str">
        <f t="shared" si="108"/>
        <v>1-0,0066071194977365i</v>
      </c>
      <c r="X133" s="4">
        <f t="shared" si="122"/>
        <v>1.00002182677582</v>
      </c>
      <c r="Y133" s="4">
        <f t="shared" si="123"/>
        <v>-0.00660702335779465</v>
      </c>
      <c r="Z133" t="str">
        <f t="shared" si="109"/>
        <v>0,999999837121444+0,0113258597761377i</v>
      </c>
      <c r="AA133" s="4">
        <f t="shared" si="124"/>
        <v>1.00006397262504</v>
      </c>
      <c r="AB133" s="4">
        <f t="shared" si="125"/>
        <v>0.0113253773826461</v>
      </c>
      <c r="AC133" s="67" t="str">
        <f t="shared" si="126"/>
        <v>39,7768941813087-47,5098560103323i</v>
      </c>
      <c r="AD133" s="68">
        <f t="shared" si="127"/>
        <v>35.8426197249512</v>
      </c>
      <c r="AE133" s="31">
        <f t="shared" si="128"/>
        <v>-50.0627654949748</v>
      </c>
      <c r="AF133" s="32" t="str">
        <f t="shared" si="129"/>
        <v>236,914774604583</v>
      </c>
      <c r="AG133" s="32" t="str">
        <f t="shared" si="110"/>
        <v>1+0,292560024001536i</v>
      </c>
      <c r="AH133" s="32">
        <f t="shared" si="130"/>
        <v>1.04191715968391</v>
      </c>
      <c r="AI133" s="32">
        <f t="shared" si="131"/>
        <v>0.284617229482668</v>
      </c>
      <c r="AJ133" s="32" t="str">
        <f t="shared" si="111"/>
        <v>1+0,0139163687092623i</v>
      </c>
      <c r="AK133" s="32">
        <f t="shared" si="132"/>
        <v>1.0000968279712</v>
      </c>
      <c r="AL133" s="32">
        <f t="shared" si="133"/>
        <v>0.0139154704409806</v>
      </c>
      <c r="AM133" s="32" t="str">
        <f t="shared" si="112"/>
        <v>1-0,000661520970107601i</v>
      </c>
      <c r="AN133" s="32">
        <f t="shared" si="134"/>
        <v>1.00000021880497</v>
      </c>
      <c r="AO133" s="32">
        <f t="shared" si="135"/>
        <v>-0.000661520873611564</v>
      </c>
      <c r="AP133" s="30" t="str">
        <f t="shared" si="136"/>
        <v>219,083975771142-60,9549439454175i</v>
      </c>
      <c r="AQ133" s="32">
        <f t="shared" si="137"/>
        <v>47.1360219896431</v>
      </c>
      <c r="AR133" s="31">
        <f t="shared" si="138"/>
        <v>-15.5479706539738</v>
      </c>
      <c r="AS133" t="str">
        <f t="shared" si="113"/>
        <v>-0,000272527472527473</v>
      </c>
      <c r="AT133" t="str">
        <f t="shared" si="114"/>
        <v>0,00019942653373541i</v>
      </c>
      <c r="AU133">
        <f t="shared" si="139"/>
        <v>0.00019942653373541</v>
      </c>
      <c r="AV133">
        <f t="shared" si="140"/>
        <v>1.5707963267949</v>
      </c>
      <c r="AW133" t="str">
        <f t="shared" si="115"/>
        <v>1+0,0102102727427508i</v>
      </c>
      <c r="AX133">
        <f t="shared" si="141"/>
        <v>1.00005212347631</v>
      </c>
      <c r="AY133">
        <f t="shared" si="142"/>
        <v>0.0102099179590893</v>
      </c>
      <c r="AZ133" t="str">
        <f t="shared" si="116"/>
        <v>1+0,488137933041725i</v>
      </c>
      <c r="BA133">
        <f t="shared" si="143"/>
        <v>1.11277969143683</v>
      </c>
      <c r="BB133">
        <f t="shared" si="144"/>
        <v>0.454113002945814</v>
      </c>
      <c r="BC133" s="30" t="str">
        <f t="shared" si="145"/>
        <v>-0,653046703133166+1,37322351564127i</v>
      </c>
      <c r="BD133" s="32">
        <f t="shared" si="146"/>
        <v>3.64027804862849</v>
      </c>
      <c r="BE133" s="31">
        <f t="shared" si="147"/>
        <v>115.433773282576</v>
      </c>
      <c r="BF133" s="30" t="str">
        <f t="shared" si="148"/>
        <v>39,2654818921386+85,6487213028264i</v>
      </c>
      <c r="BG133" s="68">
        <f t="shared" si="149"/>
        <v>39.4828977735797</v>
      </c>
      <c r="BH133" s="31">
        <f t="shared" si="150"/>
        <v>65.3710077876017</v>
      </c>
      <c r="BI133" s="30" t="str">
        <f t="shared" si="156"/>
        <v>-59,367305666208+340,657692612336i</v>
      </c>
      <c r="BJ133" s="68">
        <f t="shared" si="151"/>
        <v>50.7763000382716</v>
      </c>
      <c r="BK133" s="31">
        <f t="shared" si="157"/>
        <v>99.8858026286026</v>
      </c>
      <c r="BL133" s="32">
        <f t="shared" si="152"/>
        <v>39.4828977735797</v>
      </c>
      <c r="BM133" s="31">
        <f t="shared" si="153"/>
        <v>65.3710077876017</v>
      </c>
      <c r="BO133">
        <f t="shared" si="154"/>
        <v>0</v>
      </c>
      <c r="BP133">
        <f t="shared" si="155"/>
        <v>0</v>
      </c>
    </row>
    <row r="134" spans="14:68">
      <c r="N134" s="7">
        <v>16</v>
      </c>
      <c r="O134" s="18">
        <f t="shared" si="158"/>
        <v>144.543977074593</v>
      </c>
      <c r="P134" s="86" t="str">
        <f t="shared" si="105"/>
        <v>96,0576923076923</v>
      </c>
      <c r="Q134" s="4" t="str">
        <f t="shared" si="106"/>
        <v>1+1,21230272909741i</v>
      </c>
      <c r="R134" s="4">
        <f t="shared" si="118"/>
        <v>1.57152088976794</v>
      </c>
      <c r="S134" s="4">
        <f t="shared" si="119"/>
        <v>0.881069786849239</v>
      </c>
      <c r="T134" s="4" t="str">
        <f t="shared" si="107"/>
        <v>1+0,0142405225781833i</v>
      </c>
      <c r="U134" s="4">
        <f t="shared" si="120"/>
        <v>1.00010139110157</v>
      </c>
      <c r="V134" s="4">
        <f t="shared" si="121"/>
        <v>0.0142395600716483</v>
      </c>
      <c r="W134" t="str">
        <f t="shared" si="108"/>
        <v>1-0,00676101908119533i</v>
      </c>
      <c r="X134" s="4">
        <f t="shared" si="122"/>
        <v>1.00002285542832</v>
      </c>
      <c r="Y134" s="4">
        <f t="shared" si="123"/>
        <v>-0.00676091606551879</v>
      </c>
      <c r="Z134" t="str">
        <f t="shared" si="109"/>
        <v>0,999999829445214+0,0115896729404763i</v>
      </c>
      <c r="AA134" s="4">
        <f t="shared" si="124"/>
        <v>1.000066987461</v>
      </c>
      <c r="AB134" s="4">
        <f t="shared" si="125"/>
        <v>0.0115891560484072</v>
      </c>
      <c r="AC134" s="67" t="str">
        <f t="shared" si="126"/>
        <v>38,7028936860219-47,3144914364772i</v>
      </c>
      <c r="AD134" s="68">
        <f t="shared" si="127"/>
        <v>35.7247371302408</v>
      </c>
      <c r="AE134" s="31">
        <f t="shared" si="128"/>
        <v>-50.7170952346126</v>
      </c>
      <c r="AF134" s="32" t="str">
        <f t="shared" si="129"/>
        <v>236,914774604583</v>
      </c>
      <c r="AG134" s="32" t="str">
        <f t="shared" si="110"/>
        <v>1+0,299374622382263i</v>
      </c>
      <c r="AH134" s="32">
        <f t="shared" si="130"/>
        <v>1.04385112182079</v>
      </c>
      <c r="AI134" s="32">
        <f t="shared" si="131"/>
        <v>0.290882954836552</v>
      </c>
      <c r="AJ134" s="32" t="str">
        <f t="shared" si="111"/>
        <v>1+0,0142405225781833i</v>
      </c>
      <c r="AK134" s="32">
        <f t="shared" si="132"/>
        <v>1.00010139110157</v>
      </c>
      <c r="AL134" s="32">
        <f t="shared" si="133"/>
        <v>0.0142395600716483</v>
      </c>
      <c r="AM134" s="32" t="str">
        <f t="shared" si="112"/>
        <v>1-0,000676929772957878i</v>
      </c>
      <c r="AN134" s="32">
        <f t="shared" si="134"/>
        <v>1.00000022911693</v>
      </c>
      <c r="AO134" s="32">
        <f t="shared" si="135"/>
        <v>-0.000676929669560512</v>
      </c>
      <c r="AP134" s="30" t="str">
        <f t="shared" si="136"/>
        <v>218,312756743751-62,1438835791129i</v>
      </c>
      <c r="AQ134" s="32">
        <f t="shared" si="137"/>
        <v>47.1199542770586</v>
      </c>
      <c r="AR134" s="31">
        <f t="shared" si="138"/>
        <v>-15.8892841632935</v>
      </c>
      <c r="AS134" t="str">
        <f t="shared" si="113"/>
        <v>-0,000272527472527473</v>
      </c>
      <c r="AT134" t="str">
        <f t="shared" si="114"/>
        <v>0,000204071774446288i</v>
      </c>
      <c r="AU134">
        <f t="shared" si="139"/>
        <v>0.000204071774446288</v>
      </c>
      <c r="AV134">
        <f t="shared" si="140"/>
        <v>1.5707963267949</v>
      </c>
      <c r="AW134" t="str">
        <f t="shared" si="115"/>
        <v>1+0,0104481005469322i</v>
      </c>
      <c r="AX134">
        <f t="shared" si="141"/>
        <v>1.00005457991304</v>
      </c>
      <c r="AY134">
        <f t="shared" si="142"/>
        <v>0.0104477203905102</v>
      </c>
      <c r="AZ134" t="str">
        <f t="shared" si="116"/>
        <v>1+0,499508126148012i</v>
      </c>
      <c r="BA134">
        <f t="shared" si="143"/>
        <v>1.11781410265209</v>
      </c>
      <c r="BB134">
        <f t="shared" si="144"/>
        <v>0.463254032503539</v>
      </c>
      <c r="BC134" s="30" t="str">
        <f t="shared" si="145"/>
        <v>-0,653043494976398+1,34227218863631i</v>
      </c>
      <c r="BD134" s="32">
        <f t="shared" si="146"/>
        <v>3.4794645822701</v>
      </c>
      <c r="BE134" s="31">
        <f t="shared" si="147"/>
        <v>115.94389062096</v>
      </c>
      <c r="BF134" s="30" t="str">
        <f t="shared" si="148"/>
        <v>38,2342530162345+82,848238665203i</v>
      </c>
      <c r="BG134" s="68">
        <f t="shared" si="149"/>
        <v>39.2042017125109</v>
      </c>
      <c r="BH134" s="31">
        <f t="shared" si="150"/>
        <v>65.2267953863475</v>
      </c>
      <c r="BI134" s="30" t="str">
        <f t="shared" si="156"/>
        <v>-59,1537190397755+333,617800725571i</v>
      </c>
      <c r="BJ134" s="68">
        <f t="shared" si="151"/>
        <v>50.5994188593287</v>
      </c>
      <c r="BK134" s="31">
        <f t="shared" si="157"/>
        <v>100.054606457667</v>
      </c>
      <c r="BL134" s="32">
        <f t="shared" si="152"/>
        <v>39.2042017125109</v>
      </c>
      <c r="BM134" s="31">
        <f t="shared" si="153"/>
        <v>65.2267953863475</v>
      </c>
      <c r="BO134">
        <f t="shared" si="154"/>
        <v>0</v>
      </c>
      <c r="BP134">
        <f t="shared" si="155"/>
        <v>0</v>
      </c>
    </row>
    <row r="135" spans="14:68">
      <c r="N135" s="7">
        <v>17</v>
      </c>
      <c r="O135" s="18">
        <f t="shared" si="158"/>
        <v>147.910838816821</v>
      </c>
      <c r="P135" s="86" t="str">
        <f t="shared" si="105"/>
        <v>96,0576923076923</v>
      </c>
      <c r="Q135" s="4" t="str">
        <f t="shared" si="106"/>
        <v>1+1,24054088720821i</v>
      </c>
      <c r="R135" s="4">
        <f t="shared" si="118"/>
        <v>1.59340568997206</v>
      </c>
      <c r="S135" s="4">
        <f t="shared" si="119"/>
        <v>0.892346928842397</v>
      </c>
      <c r="T135" s="4" t="str">
        <f t="shared" si="107"/>
        <v>1+0,0145722269606709i</v>
      </c>
      <c r="U135" s="4">
        <f t="shared" si="120"/>
        <v>1.00010616926334</v>
      </c>
      <c r="V135" s="4">
        <f t="shared" si="121"/>
        <v>0.0145711956222504</v>
      </c>
      <c r="W135" t="str">
        <f t="shared" si="108"/>
        <v>1-0,00691850344646364i</v>
      </c>
      <c r="X135" s="4">
        <f t="shared" si="122"/>
        <v>1.00002393255859</v>
      </c>
      <c r="Y135" s="4">
        <f t="shared" si="123"/>
        <v>-0.00691839306332016</v>
      </c>
      <c r="Z135" t="str">
        <f t="shared" si="109"/>
        <v>0,999999821407214+0,0118596311028152i</v>
      </c>
      <c r="AA135" s="4">
        <f t="shared" si="124"/>
        <v>1.00007014437206</v>
      </c>
      <c r="AB135" s="4">
        <f t="shared" si="125"/>
        <v>0.0118590772450826</v>
      </c>
      <c r="AC135" s="67" t="str">
        <f t="shared" si="126"/>
        <v>37,6382565279808-47,0958642190783i</v>
      </c>
      <c r="AD135" s="68">
        <f t="shared" si="127"/>
        <v>35.6046364587426</v>
      </c>
      <c r="AE135" s="31">
        <f t="shared" si="128"/>
        <v>-51.3687146711194</v>
      </c>
      <c r="AF135" s="32" t="str">
        <f t="shared" si="129"/>
        <v>236,914774604583</v>
      </c>
      <c r="AG135" s="32" t="str">
        <f t="shared" si="110"/>
        <v>1+0,306347953150467i</v>
      </c>
      <c r="AH135" s="32">
        <f t="shared" si="130"/>
        <v>1.04587239584926</v>
      </c>
      <c r="AI135" s="32">
        <f t="shared" si="131"/>
        <v>0.297270381927831</v>
      </c>
      <c r="AJ135" s="32" t="str">
        <f t="shared" si="111"/>
        <v>1+0,0145722269606709i</v>
      </c>
      <c r="AK135" s="32">
        <f t="shared" si="132"/>
        <v>1.00010616926334</v>
      </c>
      <c r="AL135" s="32">
        <f t="shared" si="133"/>
        <v>0.0145711956222504</v>
      </c>
      <c r="AM135" s="32" t="str">
        <f t="shared" si="112"/>
        <v>1-0,000692697492933999i</v>
      </c>
      <c r="AN135" s="32">
        <f t="shared" si="134"/>
        <v>1.00000023991488</v>
      </c>
      <c r="AO135" s="32">
        <f t="shared" si="135"/>
        <v>-0.000692697382141727</v>
      </c>
      <c r="AP135" s="30" t="str">
        <f t="shared" si="136"/>
        <v>217,511287767889-63,3458721993483i</v>
      </c>
      <c r="AQ135" s="32">
        <f t="shared" si="137"/>
        <v>47.1031931021908</v>
      </c>
      <c r="AR135" s="31">
        <f t="shared" si="138"/>
        <v>-16.2371588835688</v>
      </c>
      <c r="AS135" t="str">
        <f t="shared" si="113"/>
        <v>-0,000272527472527473</v>
      </c>
      <c r="AT135" t="str">
        <f t="shared" si="114"/>
        <v>0,000208825216713185i</v>
      </c>
      <c r="AU135">
        <f t="shared" si="139"/>
        <v>0.000208825216713185</v>
      </c>
      <c r="AV135">
        <f t="shared" si="140"/>
        <v>1.5707963267949</v>
      </c>
      <c r="AW135" t="str">
        <f t="shared" si="115"/>
        <v>1+0,0106914680723204i</v>
      </c>
      <c r="AX135">
        <f t="shared" si="141"/>
        <v>1.00005715211159</v>
      </c>
      <c r="AY135">
        <f t="shared" si="142"/>
        <v>0.0106910607286325</v>
      </c>
      <c r="AZ135" t="str">
        <f t="shared" si="116"/>
        <v>1+0,511143165074551i</v>
      </c>
      <c r="BA135">
        <f t="shared" si="143"/>
        <v>1.12306159011981</v>
      </c>
      <c r="BB135">
        <f t="shared" si="144"/>
        <v>0.47252234993868</v>
      </c>
      <c r="BC135" s="30" t="str">
        <f t="shared" si="145"/>
        <v>-0,653040135657642+1,31203254895297i</v>
      </c>
      <c r="BD135" s="32">
        <f t="shared" si="146"/>
        <v>3.32012203528742</v>
      </c>
      <c r="BE135" s="31">
        <f t="shared" si="147"/>
        <v>116.460983718821</v>
      </c>
      <c r="BF135" s="30" t="str">
        <f t="shared" si="148"/>
        <v>37,2120146275506+80,1381072090932i</v>
      </c>
      <c r="BG135" s="68">
        <f t="shared" si="149"/>
        <v>38.92475849403</v>
      </c>
      <c r="BH135" s="31">
        <f t="shared" si="150"/>
        <v>65.0922690477019</v>
      </c>
      <c r="BI135" s="30" t="str">
        <f t="shared" si="156"/>
        <v>-58,9317547036506+326,74928629056i</v>
      </c>
      <c r="BJ135" s="68">
        <f t="shared" si="151"/>
        <v>50.4233151374782</v>
      </c>
      <c r="BK135" s="31">
        <f t="shared" si="157"/>
        <v>100.223824835253</v>
      </c>
      <c r="BL135" s="32">
        <f t="shared" si="152"/>
        <v>38.92475849403</v>
      </c>
      <c r="BM135" s="31">
        <f t="shared" si="153"/>
        <v>65.0922690477019</v>
      </c>
      <c r="BO135">
        <f t="shared" si="154"/>
        <v>0</v>
      </c>
      <c r="BP135">
        <f t="shared" si="155"/>
        <v>0</v>
      </c>
    </row>
    <row r="136" spans="14:68">
      <c r="N136" s="7">
        <v>18</v>
      </c>
      <c r="O136" s="18">
        <f t="shared" si="158"/>
        <v>151.356124843621</v>
      </c>
      <c r="P136" s="86" t="str">
        <f t="shared" si="105"/>
        <v>96,0576923076923</v>
      </c>
      <c r="Q136" s="4" t="str">
        <f t="shared" si="106"/>
        <v>1+1,26943679651791i</v>
      </c>
      <c r="R136" s="4">
        <f t="shared" si="118"/>
        <v>1.61600426371766</v>
      </c>
      <c r="S136" s="4">
        <f t="shared" si="119"/>
        <v>0.903569092948754</v>
      </c>
      <c r="T136" s="4" t="str">
        <f t="shared" si="107"/>
        <v>1+0,0149116577307792i</v>
      </c>
      <c r="U136" s="4">
        <f t="shared" si="120"/>
        <v>1.00011117258847</v>
      </c>
      <c r="V136" s="4">
        <f t="shared" si="121"/>
        <v>0.0149105526383859</v>
      </c>
      <c r="W136" t="str">
        <f t="shared" si="108"/>
        <v>1-0,00707965609383649i</v>
      </c>
      <c r="X136" s="4">
        <f t="shared" si="122"/>
        <v>1.00002506045119</v>
      </c>
      <c r="Y136" s="4">
        <f t="shared" si="123"/>
        <v>-0.00707953781632736</v>
      </c>
      <c r="Z136" t="str">
        <f t="shared" si="109"/>
        <v>0,999999812990396+0,0121358773985457i</v>
      </c>
      <c r="AA136" s="4">
        <f t="shared" si="124"/>
        <v>1.00007345005307</v>
      </c>
      <c r="AB136" s="4">
        <f t="shared" si="125"/>
        <v>0.0121352839316469</v>
      </c>
      <c r="AC136" s="67" t="str">
        <f t="shared" si="126"/>
        <v>36,5839740662815-46,8545256809658i</v>
      </c>
      <c r="AD136" s="68">
        <f t="shared" si="127"/>
        <v>35.4823382257335</v>
      </c>
      <c r="AE136" s="31">
        <f t="shared" si="128"/>
        <v>-52.0173119782955</v>
      </c>
      <c r="AF136" s="32" t="str">
        <f t="shared" si="129"/>
        <v>236,914774604583</v>
      </c>
      <c r="AG136" s="32" t="str">
        <f t="shared" si="110"/>
        <v>1+0,313483713658425i</v>
      </c>
      <c r="AH136" s="32">
        <f t="shared" si="130"/>
        <v>1.0479847511911</v>
      </c>
      <c r="AI136" s="32">
        <f t="shared" si="131"/>
        <v>0.303780811866167</v>
      </c>
      <c r="AJ136" s="32" t="str">
        <f t="shared" si="111"/>
        <v>1+0,0149116577307792i</v>
      </c>
      <c r="AK136" s="32">
        <f t="shared" si="132"/>
        <v>1.00011117258847</v>
      </c>
      <c r="AL136" s="32">
        <f t="shared" si="133"/>
        <v>0.0149105526383859</v>
      </c>
      <c r="AM136" s="32" t="str">
        <f t="shared" si="112"/>
        <v>1-0,000708832490289808i</v>
      </c>
      <c r="AN136" s="32">
        <f t="shared" si="134"/>
        <v>1.00000025122172</v>
      </c>
      <c r="AO136" s="32">
        <f t="shared" si="135"/>
        <v>-0.000708832371573752</v>
      </c>
      <c r="AP136" s="30" t="str">
        <f t="shared" si="136"/>
        <v>216,678654203989-64,5603700497772i</v>
      </c>
      <c r="AQ136" s="32">
        <f t="shared" si="137"/>
        <v>47.0857113976881</v>
      </c>
      <c r="AR136" s="31">
        <f t="shared" si="138"/>
        <v>-16.5916597838753</v>
      </c>
      <c r="AS136" t="str">
        <f t="shared" si="113"/>
        <v>-0,000272527472527473</v>
      </c>
      <c r="AT136" t="str">
        <f t="shared" si="114"/>
        <v>0,000213689380874112i</v>
      </c>
      <c r="AU136">
        <f t="shared" si="139"/>
        <v>0.000213689380874112</v>
      </c>
      <c r="AV136">
        <f t="shared" si="140"/>
        <v>1.5707963267949</v>
      </c>
      <c r="AW136" t="str">
        <f t="shared" si="115"/>
        <v>1+0,0109405043555989i</v>
      </c>
      <c r="AX136">
        <f t="shared" si="141"/>
        <v>1.00005984552703</v>
      </c>
      <c r="AY136">
        <f t="shared" si="142"/>
        <v>0.0109400678803842</v>
      </c>
      <c r="AZ136" t="str">
        <f t="shared" si="116"/>
        <v>1+0,523049218872993i</v>
      </c>
      <c r="BA136">
        <f t="shared" si="143"/>
        <v>1.12853023236582</v>
      </c>
      <c r="BB136">
        <f t="shared" si="144"/>
        <v>0.481916499199138</v>
      </c>
      <c r="BC136" s="30" t="str">
        <f t="shared" si="145"/>
        <v>-0,653036618056119+1,28248856290804i</v>
      </c>
      <c r="BD136" s="32">
        <f t="shared" si="146"/>
        <v>3.16229111746194</v>
      </c>
      <c r="BE136" s="31">
        <f t="shared" si="147"/>
        <v>116.984961764698</v>
      </c>
      <c r="BF136" s="30" t="str">
        <f t="shared" si="148"/>
        <v>36,1997186070224+77,5162493170518i</v>
      </c>
      <c r="BG136" s="68">
        <f t="shared" si="149"/>
        <v>38.6446293431955</v>
      </c>
      <c r="BH136" s="31">
        <f t="shared" si="150"/>
        <v>64.9676497864022</v>
      </c>
      <c r="BI136" s="30" t="str">
        <f t="shared" si="156"/>
        <v>-58,7011593403742+320,04818156068i</v>
      </c>
      <c r="BJ136" s="68">
        <f t="shared" si="151"/>
        <v>50.24800251515</v>
      </c>
      <c r="BK136" s="31">
        <f t="shared" si="157"/>
        <v>100.393301980822</v>
      </c>
      <c r="BL136" s="32">
        <f t="shared" si="152"/>
        <v>38.6446293431955</v>
      </c>
      <c r="BM136" s="31">
        <f t="shared" si="153"/>
        <v>64.9676497864022</v>
      </c>
      <c r="BO136">
        <f t="shared" si="154"/>
        <v>0</v>
      </c>
      <c r="BP136">
        <f t="shared" si="155"/>
        <v>0</v>
      </c>
    </row>
    <row r="137" spans="14:68">
      <c r="N137" s="7">
        <v>19</v>
      </c>
      <c r="O137" s="18">
        <f t="shared" si="158"/>
        <v>154.881661891248</v>
      </c>
      <c r="P137" s="86" t="str">
        <f t="shared" si="105"/>
        <v>96,0576923076923</v>
      </c>
      <c r="Q137" s="4" t="str">
        <f t="shared" si="106"/>
        <v>1+1,2990057780201i</v>
      </c>
      <c r="R137" s="4">
        <f t="shared" si="118"/>
        <v>1.63933401457104</v>
      </c>
      <c r="S137" s="4">
        <f t="shared" si="119"/>
        <v>0.914730923651128</v>
      </c>
      <c r="T137" s="4" t="str">
        <f t="shared" si="107"/>
        <v>1+0,0152589948591954i</v>
      </c>
      <c r="U137" s="4">
        <f t="shared" si="120"/>
        <v>1.00011641168622</v>
      </c>
      <c r="V137" s="4">
        <f t="shared" si="121"/>
        <v>0.0152578107388058</v>
      </c>
      <c r="W137" t="str">
        <f t="shared" si="108"/>
        <v>1-0,0072445624685806i</v>
      </c>
      <c r="X137" s="4">
        <f t="shared" si="122"/>
        <v>1.00002624149837</v>
      </c>
      <c r="Y137" s="4">
        <f t="shared" si="123"/>
        <v>-0.00724443573212581</v>
      </c>
      <c r="Z137" t="str">
        <f t="shared" si="109"/>
        <v>0,999999804176905+0,0124185582971102i</v>
      </c>
      <c r="AA137" s="4">
        <f t="shared" si="124"/>
        <v>1.00007691151432</v>
      </c>
      <c r="AB137" s="4">
        <f t="shared" si="125"/>
        <v>0.0124179223885124</v>
      </c>
      <c r="AC137" s="67" t="str">
        <f t="shared" si="126"/>
        <v>35,5409967505156-46,5910772384276i</v>
      </c>
      <c r="AD137" s="68">
        <f t="shared" si="127"/>
        <v>35.3578649641363</v>
      </c>
      <c r="AE137" s="31">
        <f t="shared" si="128"/>
        <v>-52.6625832909576</v>
      </c>
      <c r="AF137" s="32" t="str">
        <f t="shared" si="129"/>
        <v>236,914774604583</v>
      </c>
      <c r="AG137" s="32" t="str">
        <f t="shared" si="110"/>
        <v>1+0,320785687380812i</v>
      </c>
      <c r="AH137" s="32">
        <f t="shared" si="130"/>
        <v>1.05019210491623</v>
      </c>
      <c r="AI137" s="32">
        <f t="shared" si="131"/>
        <v>0.310415488174668</v>
      </c>
      <c r="AJ137" s="32" t="str">
        <f t="shared" si="111"/>
        <v>1+0,0152589948591954i</v>
      </c>
      <c r="AK137" s="32">
        <f t="shared" si="132"/>
        <v>1.00011641168622</v>
      </c>
      <c r="AL137" s="32">
        <f t="shared" si="133"/>
        <v>0.0152578107388058</v>
      </c>
      <c r="AM137" s="32" t="str">
        <f t="shared" si="112"/>
        <v>1-0,000725343320014474i</v>
      </c>
      <c r="AN137" s="32">
        <f t="shared" si="134"/>
        <v>1.00000026306143</v>
      </c>
      <c r="AO137" s="32">
        <f t="shared" si="135"/>
        <v>-0.000725343192807929</v>
      </c>
      <c r="AP137" s="30" t="str">
        <f t="shared" si="136"/>
        <v>215,813937563187-65,78678552898i</v>
      </c>
      <c r="AQ137" s="32">
        <f t="shared" si="137"/>
        <v>47.0674812896229</v>
      </c>
      <c r="AR137" s="31">
        <f t="shared" si="138"/>
        <v>-16.952848311605</v>
      </c>
      <c r="AS137" t="str">
        <f t="shared" si="113"/>
        <v>-0,000272527472527473</v>
      </c>
      <c r="AT137" t="str">
        <f t="shared" si="114"/>
        <v>0,000218666845973291i</v>
      </c>
      <c r="AU137">
        <f t="shared" si="139"/>
        <v>0.000218666845973291</v>
      </c>
      <c r="AV137">
        <f t="shared" si="140"/>
        <v>1.5707963267949</v>
      </c>
      <c r="AW137" t="str">
        <f t="shared" si="115"/>
        <v>1+0,0111953414391014i</v>
      </c>
      <c r="AX137">
        <f t="shared" si="141"/>
        <v>1.00006266587146</v>
      </c>
      <c r="AY137">
        <f t="shared" si="142"/>
        <v>0.0111948737490654</v>
      </c>
      <c r="AZ137" t="str">
        <f t="shared" si="116"/>
        <v>1+0,535232600290655i</v>
      </c>
      <c r="BA137">
        <f t="shared" si="143"/>
        <v>1.13422834403567</v>
      </c>
      <c r="BB137">
        <f t="shared" si="144"/>
        <v>0.49143482803228</v>
      </c>
      <c r="BC137" s="30" t="str">
        <f t="shared" si="145"/>
        <v>-0,653032934715757+1,25362456564699i</v>
      </c>
      <c r="BD137" s="32">
        <f t="shared" si="146"/>
        <v>3.0060125823298</v>
      </c>
      <c r="BE137" s="31">
        <f t="shared" si="147"/>
        <v>117.515722533984</v>
      </c>
      <c r="BF137" s="30" t="str">
        <f t="shared" si="148"/>
        <v>35,1982775553368+74,9805745146051i</v>
      </c>
      <c r="BG137" s="68">
        <f t="shared" si="149"/>
        <v>38.3638775464661</v>
      </c>
      <c r="BH137" s="31">
        <f t="shared" si="150"/>
        <v>64.8531392430261</v>
      </c>
      <c r="BI137" s="30" t="str">
        <f t="shared" si="156"/>
        <v>-58,4616785653719+313,510591357723i</v>
      </c>
      <c r="BJ137" s="68">
        <f t="shared" si="151"/>
        <v>50.0734938719527</v>
      </c>
      <c r="BK137" s="31">
        <f t="shared" si="157"/>
        <v>100.562874222379</v>
      </c>
      <c r="BL137" s="32">
        <f t="shared" si="152"/>
        <v>38.3638775464661</v>
      </c>
      <c r="BM137" s="31">
        <f t="shared" si="153"/>
        <v>64.8531392430261</v>
      </c>
      <c r="BO137">
        <f t="shared" si="154"/>
        <v>0</v>
      </c>
      <c r="BP137">
        <f t="shared" si="155"/>
        <v>0</v>
      </c>
    </row>
    <row r="138" spans="14:68">
      <c r="N138" s="7">
        <v>20</v>
      </c>
      <c r="O138" s="18">
        <f t="shared" si="158"/>
        <v>158.489319246112</v>
      </c>
      <c r="P138" s="86" t="str">
        <f t="shared" si="105"/>
        <v>96,0576923076923</v>
      </c>
      <c r="Q138" s="4" t="str">
        <f t="shared" si="106"/>
        <v>1+1,32926350958019i</v>
      </c>
      <c r="R138" s="4">
        <f t="shared" si="118"/>
        <v>1.66341260001884</v>
      </c>
      <c r="S138" s="4">
        <f t="shared" si="119"/>
        <v>0.925827214735965</v>
      </c>
      <c r="T138" s="4" t="str">
        <f t="shared" si="107"/>
        <v>1+0,0156144225086628i</v>
      </c>
      <c r="U138" s="4">
        <f t="shared" si="120"/>
        <v>1.00012189766562</v>
      </c>
      <c r="V138" s="4">
        <f t="shared" si="121"/>
        <v>0.0156131537091577</v>
      </c>
      <c r="W138" t="str">
        <f t="shared" si="108"/>
        <v>1-0,00741331000623872i</v>
      </c>
      <c r="X138" s="4">
        <f t="shared" si="122"/>
        <v>1.0000274782051</v>
      </c>
      <c r="Y138" s="4">
        <f t="shared" si="123"/>
        <v>-0.00741317420588226</v>
      </c>
      <c r="Z138" t="str">
        <f t="shared" si="109"/>
        <v>0,999999794948046+0,0127078236796629i</v>
      </c>
      <c r="AA138" s="4">
        <f t="shared" si="124"/>
        <v>1.00008053609637</v>
      </c>
      <c r="AB138" s="4">
        <f t="shared" si="125"/>
        <v>0.0127071422942875</v>
      </c>
      <c r="AC138" s="67" t="str">
        <f t="shared" si="126"/>
        <v>34,5102310663891-46,3061668574071i</v>
      </c>
      <c r="AD138" s="68">
        <f t="shared" si="127"/>
        <v>35.231241136509</v>
      </c>
      <c r="AE138" s="31">
        <f t="shared" si="128"/>
        <v>-53.3042333682263</v>
      </c>
      <c r="AF138" s="32" t="str">
        <f t="shared" si="129"/>
        <v>236,914774604583</v>
      </c>
      <c r="AG138" s="32" t="str">
        <f t="shared" si="110"/>
        <v>1+0,328257745920752i</v>
      </c>
      <c r="AH138" s="32">
        <f t="shared" si="130"/>
        <v>1.05249852624931</v>
      </c>
      <c r="AI138" s="32">
        <f t="shared" si="131"/>
        <v>0.317175591408045</v>
      </c>
      <c r="AJ138" s="32" t="str">
        <f t="shared" si="111"/>
        <v>1+0,0156144225086628i</v>
      </c>
      <c r="AK138" s="32">
        <f t="shared" si="132"/>
        <v>1.00012189766562</v>
      </c>
      <c r="AL138" s="32">
        <f t="shared" si="133"/>
        <v>0.0156131537091577</v>
      </c>
      <c r="AM138" s="32" t="str">
        <f t="shared" si="112"/>
        <v>1-0,000742238736368472i</v>
      </c>
      <c r="AN138" s="32">
        <f t="shared" si="134"/>
        <v>1.00000027545913</v>
      </c>
      <c r="AO138" s="32">
        <f t="shared" si="135"/>
        <v>-0.000742238600064206</v>
      </c>
      <c r="AP138" s="30" t="str">
        <f t="shared" si="136"/>
        <v>214,91621787317-67,024473174569i</v>
      </c>
      <c r="AQ138" s="32">
        <f t="shared" si="137"/>
        <v>47.0484740953135</v>
      </c>
      <c r="AR138" s="31">
        <f t="shared" si="138"/>
        <v>-17.3207820789985</v>
      </c>
      <c r="AS138" t="str">
        <f t="shared" si="113"/>
        <v>-0,000272527472527473</v>
      </c>
      <c r="AT138" t="str">
        <f t="shared" si="114"/>
        <v>0,000223760251128605i</v>
      </c>
      <c r="AU138">
        <f t="shared" si="139"/>
        <v>0.000223760251128605</v>
      </c>
      <c r="AV138">
        <f t="shared" si="140"/>
        <v>1.5707963267949</v>
      </c>
      <c r="AW138" t="str">
        <f t="shared" si="115"/>
        <v>1+0,0114561144408228i</v>
      </c>
      <c r="AX138">
        <f t="shared" si="141"/>
        <v>1.00006561912611</v>
      </c>
      <c r="AY138">
        <f t="shared" si="142"/>
        <v>0.0114556133036962</v>
      </c>
      <c r="AZ138" t="str">
        <f t="shared" si="116"/>
        <v>1+0,547699769117636i</v>
      </c>
      <c r="BA138">
        <f t="shared" si="143"/>
        <v>1.14016447808705</v>
      </c>
      <c r="BB138">
        <f t="shared" si="144"/>
        <v>0.501075483568181</v>
      </c>
      <c r="BC138" s="30" t="str">
        <f t="shared" si="145"/>
        <v>-0,653029077829445+1,22542525283698i</v>
      </c>
      <c r="BD138" s="32">
        <f t="shared" si="146"/>
        <v>2.85132714078007</v>
      </c>
      <c r="BE138" s="31">
        <f t="shared" si="147"/>
        <v>118.053152131898</v>
      </c>
      <c r="BF138" s="30" t="str">
        <f t="shared" si="148"/>
        <v>34,2085618601843+72,5289820707014i</v>
      </c>
      <c r="BG138" s="68">
        <f t="shared" si="149"/>
        <v>38.082568277289</v>
      </c>
      <c r="BH138" s="31">
        <f t="shared" si="150"/>
        <v>64.7489187636717</v>
      </c>
      <c r="BI138" s="30" t="str">
        <f t="shared" si="156"/>
        <v>-58,2130575820967+307,13269053519i</v>
      </c>
      <c r="BJ138" s="68">
        <f t="shared" si="151"/>
        <v>49.8998012360935</v>
      </c>
      <c r="BK138" s="31">
        <f t="shared" si="157"/>
        <v>100.732370052899</v>
      </c>
      <c r="BL138" s="32">
        <f t="shared" si="152"/>
        <v>38.082568277289</v>
      </c>
      <c r="BM138" s="31">
        <f t="shared" si="153"/>
        <v>64.7489187636717</v>
      </c>
      <c r="BO138">
        <f t="shared" si="154"/>
        <v>0</v>
      </c>
      <c r="BP138">
        <f t="shared" si="155"/>
        <v>0</v>
      </c>
    </row>
    <row r="139" spans="14:68">
      <c r="N139" s="7">
        <v>21</v>
      </c>
      <c r="O139" s="18">
        <f t="shared" si="158"/>
        <v>162.181009735893</v>
      </c>
      <c r="P139" s="86" t="str">
        <f t="shared" si="105"/>
        <v>96,0576923076923</v>
      </c>
      <c r="Q139" s="4" t="str">
        <f t="shared" si="106"/>
        <v>1+1,36022603424792i</v>
      </c>
      <c r="R139" s="4">
        <f t="shared" si="118"/>
        <v>1.68825793771148</v>
      </c>
      <c r="S139" s="4">
        <f t="shared" si="119"/>
        <v>0.936852919970525</v>
      </c>
      <c r="T139" s="4" t="str">
        <f t="shared" si="107"/>
        <v>1+0,0159781291316254i</v>
      </c>
      <c r="U139" s="4">
        <f t="shared" si="120"/>
        <v>1.00012764215901</v>
      </c>
      <c r="V139" s="4">
        <f t="shared" si="121"/>
        <v>0.0159767695978323</v>
      </c>
      <c r="W139" t="str">
        <f t="shared" si="108"/>
        <v>1-0,00758598817898883i</v>
      </c>
      <c r="X139" s="4">
        <f t="shared" si="122"/>
        <v>1.00002877319438</v>
      </c>
      <c r="Y139" s="4">
        <f t="shared" si="123"/>
        <v>-0.00758584266651135</v>
      </c>
      <c r="Z139" t="str">
        <f t="shared" si="109"/>
        <v>0,999999785284246+0,0130038269185384i</v>
      </c>
      <c r="AA139" s="4">
        <f t="shared" si="124"/>
        <v>1.00008433148563</v>
      </c>
      <c r="AB139" s="4">
        <f t="shared" si="125"/>
        <v>0.0130030968042794</v>
      </c>
      <c r="AC139" s="67" t="str">
        <f t="shared" si="126"/>
        <v>33,4925368323021-46,0004853105745i</v>
      </c>
      <c r="AD139" s="68">
        <f t="shared" si="127"/>
        <v>35.1024930410639</v>
      </c>
      <c r="AE139" s="31">
        <f t="shared" si="128"/>
        <v>-53.9419762069364</v>
      </c>
      <c r="AF139" s="32" t="str">
        <f t="shared" si="129"/>
        <v>236,914774604583</v>
      </c>
      <c r="AG139" s="32" t="str">
        <f t="shared" si="110"/>
        <v>1+0,335903851062579i</v>
      </c>
      <c r="AH139" s="32">
        <f t="shared" si="130"/>
        <v>1.05490824110852</v>
      </c>
      <c r="AI139" s="32">
        <f t="shared" si="131"/>
        <v>0.324062233568327</v>
      </c>
      <c r="AJ139" s="32" t="str">
        <f t="shared" si="111"/>
        <v>1+0,0159781291316254i</v>
      </c>
      <c r="AK139" s="32">
        <f t="shared" si="132"/>
        <v>1.00012764215901</v>
      </c>
      <c r="AL139" s="32">
        <f t="shared" si="133"/>
        <v>0.0159767695978323</v>
      </c>
      <c r="AM139" s="32" t="str">
        <f t="shared" si="112"/>
        <v>1-0,000759527697525174i</v>
      </c>
      <c r="AN139" s="32">
        <f t="shared" si="134"/>
        <v>1.00000028844112</v>
      </c>
      <c r="AO139" s="32">
        <f t="shared" si="135"/>
        <v>-0.000759527551472524</v>
      </c>
      <c r="AP139" s="30" t="str">
        <f t="shared" si="136"/>
        <v>213,984576260062-68,272731705192i</v>
      </c>
      <c r="AQ139" s="32">
        <f t="shared" si="137"/>
        <v>47.0286603233417</v>
      </c>
      <c r="AR139" s="31">
        <f t="shared" si="138"/>
        <v>-17.6955145379624</v>
      </c>
      <c r="AS139" t="str">
        <f t="shared" si="113"/>
        <v>-0,000272527472527473</v>
      </c>
      <c r="AT139" t="str">
        <f t="shared" si="114"/>
        <v>0,000228972296930882i</v>
      </c>
      <c r="AU139">
        <f t="shared" si="139"/>
        <v>0.000228972296930882</v>
      </c>
      <c r="AV139">
        <f t="shared" si="140"/>
        <v>1.5707963267949</v>
      </c>
      <c r="AW139" t="str">
        <f t="shared" si="115"/>
        <v>1+0,0117229616260603i</v>
      </c>
      <c r="AX139">
        <f t="shared" si="141"/>
        <v>1.000068711554</v>
      </c>
      <c r="AY139">
        <f t="shared" si="142"/>
        <v>0.0117224246499472</v>
      </c>
      <c r="AZ139" t="str">
        <f t="shared" si="116"/>
        <v>1+0,56045733561186i</v>
      </c>
      <c r="BA139">
        <f t="shared" si="143"/>
        <v>1.14634742772039</v>
      </c>
      <c r="BB139">
        <f t="shared" si="144"/>
        <v>0.510836408431444</v>
      </c>
      <c r="BC139" s="30" t="str">
        <f t="shared" si="145"/>
        <v>-0,65302503922251+1,19787567255119i</v>
      </c>
      <c r="BD139" s="32">
        <f t="shared" si="146"/>
        <v>2.69827537014682</v>
      </c>
      <c r="BE139" s="31">
        <f t="shared" si="147"/>
        <v>118.597124766641</v>
      </c>
      <c r="BF139" s="30" t="str">
        <f t="shared" si="148"/>
        <v>33,2313971005101+70,1593638076318i</v>
      </c>
      <c r="BG139" s="68">
        <f t="shared" si="149"/>
        <v>37.8007684112107</v>
      </c>
      <c r="BH139" s="31">
        <f t="shared" si="150"/>
        <v>64.6551485597044</v>
      </c>
      <c r="BI139" s="30" t="str">
        <f t="shared" si="156"/>
        <v>-57,9550418969753+300,910721502714i</v>
      </c>
      <c r="BJ139" s="68">
        <f t="shared" si="151"/>
        <v>49.7269356934885</v>
      </c>
      <c r="BK139" s="31">
        <f t="shared" si="157"/>
        <v>100.901610228678</v>
      </c>
      <c r="BL139" s="32">
        <f t="shared" si="152"/>
        <v>37.8007684112107</v>
      </c>
      <c r="BM139" s="31">
        <f t="shared" si="153"/>
        <v>64.6551485597044</v>
      </c>
      <c r="BO139">
        <f t="shared" si="154"/>
        <v>0</v>
      </c>
      <c r="BP139">
        <f t="shared" si="155"/>
        <v>0</v>
      </c>
    </row>
    <row r="140" spans="14:68">
      <c r="N140" s="7">
        <v>22</v>
      </c>
      <c r="O140" s="18">
        <f t="shared" si="158"/>
        <v>165.958690743756</v>
      </c>
      <c r="P140" s="86" t="str">
        <f t="shared" si="105"/>
        <v>96,0576923076923</v>
      </c>
      <c r="Q140" s="4" t="str">
        <f t="shared" si="106"/>
        <v>1+1,39190976876374i</v>
      </c>
      <c r="R140" s="4">
        <f t="shared" si="118"/>
        <v>1.71388821233473</v>
      </c>
      <c r="S140" s="4">
        <f t="shared" si="119"/>
        <v>0.947803162865988</v>
      </c>
      <c r="T140" s="4" t="str">
        <f t="shared" si="107"/>
        <v>1+0,0163503075701493i</v>
      </c>
      <c r="U140" s="4">
        <f t="shared" si="120"/>
        <v>1.00013365734668</v>
      </c>
      <c r="V140" s="4">
        <f t="shared" si="121"/>
        <v>0.0163488508139582</v>
      </c>
      <c r="W140" t="str">
        <f t="shared" si="108"/>
        <v>1-0,00776268854308393i</v>
      </c>
      <c r="X140" s="4">
        <f t="shared" si="122"/>
        <v>1.00003012921282</v>
      </c>
      <c r="Y140" s="4">
        <f t="shared" si="123"/>
        <v>-0.00776253262390887</v>
      </c>
      <c r="Z140" t="str">
        <f t="shared" si="109"/>
        <v>0,999999775165004+0,0133067249585722i</v>
      </c>
      <c r="AA140" s="4">
        <f t="shared" si="124"/>
        <v>1.00008830573064</v>
      </c>
      <c r="AB140" s="4">
        <f t="shared" si="125"/>
        <v>0.0133059426307795</v>
      </c>
      <c r="AC140" s="67" t="str">
        <f t="shared" si="126"/>
        <v>32,4887248592161-45,6747622738646i</v>
      </c>
      <c r="AD140" s="68">
        <f t="shared" si="127"/>
        <v>34.9716487124571</v>
      </c>
      <c r="AE140" s="31">
        <f t="shared" si="128"/>
        <v>-54.5755356027123</v>
      </c>
      <c r="AF140" s="32" t="str">
        <f t="shared" si="129"/>
        <v>236,914774604583</v>
      </c>
      <c r="AG140" s="32" t="str">
        <f t="shared" si="110"/>
        <v>1+0,343728056872457i</v>
      </c>
      <c r="AH140" s="32">
        <f t="shared" si="130"/>
        <v>1.05742563666733</v>
      </c>
      <c r="AI140" s="32">
        <f t="shared" si="131"/>
        <v>0.331076452324936</v>
      </c>
      <c r="AJ140" s="32" t="str">
        <f t="shared" si="111"/>
        <v>1+0,0163503075701493i</v>
      </c>
      <c r="AK140" s="32">
        <f t="shared" si="132"/>
        <v>1.00013365734668</v>
      </c>
      <c r="AL140" s="32">
        <f t="shared" si="133"/>
        <v>0.0163488508139582</v>
      </c>
      <c r="AM140" s="32" t="str">
        <f t="shared" si="112"/>
        <v>1-0,00077721937032065i</v>
      </c>
      <c r="AN140" s="32">
        <f t="shared" si="134"/>
        <v>1.00000030203493</v>
      </c>
      <c r="AO140" s="32">
        <f t="shared" si="135"/>
        <v>-0.000777219213822418</v>
      </c>
      <c r="AP140" s="30" t="str">
        <f t="shared" si="136"/>
        <v>213,018097752594-69,5308021384066i</v>
      </c>
      <c r="AQ140" s="32">
        <f t="shared" si="137"/>
        <v>47.0080096759621</v>
      </c>
      <c r="AR140" s="31">
        <f t="shared" si="138"/>
        <v>-18.0770946435627</v>
      </c>
      <c r="AS140" t="str">
        <f t="shared" si="113"/>
        <v>-0,000272527472527473</v>
      </c>
      <c r="AT140" t="str">
        <f t="shared" si="114"/>
        <v>0,0002343057468758i</v>
      </c>
      <c r="AU140">
        <f t="shared" si="139"/>
        <v>0.0002343057468758</v>
      </c>
      <c r="AV140">
        <f t="shared" si="140"/>
        <v>1.5707963267949</v>
      </c>
      <c r="AW140" t="str">
        <f t="shared" si="115"/>
        <v>1+0,0119960244807237i</v>
      </c>
      <c r="AX140">
        <f t="shared" si="141"/>
        <v>1.00007194971329</v>
      </c>
      <c r="AY140">
        <f t="shared" si="142"/>
        <v>0.0119954491026878</v>
      </c>
      <c r="AZ140" t="str">
        <f t="shared" si="116"/>
        <v>1+0,573512064003961i</v>
      </c>
      <c r="BA140">
        <f t="shared" si="143"/>
        <v>1.15278622803974</v>
      </c>
      <c r="BB140">
        <f t="shared" si="144"/>
        <v>0.520715337436974</v>
      </c>
      <c r="BC140" s="30" t="str">
        <f t="shared" si="145"/>
        <v>-0,653020810335435+1,17096121733965i</v>
      </c>
      <c r="BD140" s="32">
        <f t="shared" si="146"/>
        <v>2.54689761902387</v>
      </c>
      <c r="BE140" s="31">
        <f t="shared" si="147"/>
        <v>119.147502555921</v>
      </c>
      <c r="BF140" s="30" t="str">
        <f t="shared" si="148"/>
        <v>32,2675617995733+67,8696070829181i</v>
      </c>
      <c r="BG140" s="68">
        <f t="shared" si="149"/>
        <v>37.518546331481</v>
      </c>
      <c r="BH140" s="31">
        <f t="shared" si="150"/>
        <v>64.5719669532088</v>
      </c>
      <c r="BI140" s="30" t="str">
        <f t="shared" si="156"/>
        <v>-57,6873780959209+294,840991815449i</v>
      </c>
      <c r="BJ140" s="68">
        <f t="shared" si="151"/>
        <v>49.554907294986</v>
      </c>
      <c r="BK140" s="31">
        <f t="shared" si="157"/>
        <v>101.070407912358</v>
      </c>
      <c r="BL140" s="32">
        <f t="shared" si="152"/>
        <v>37.518546331481</v>
      </c>
      <c r="BM140" s="31">
        <f t="shared" si="153"/>
        <v>64.5719669532088</v>
      </c>
      <c r="BO140">
        <f t="shared" si="154"/>
        <v>0</v>
      </c>
      <c r="BP140">
        <f t="shared" si="155"/>
        <v>0</v>
      </c>
    </row>
    <row r="141" spans="14:68">
      <c r="N141" s="7">
        <v>23</v>
      </c>
      <c r="O141" s="18">
        <f t="shared" si="158"/>
        <v>169.824365246174</v>
      </c>
      <c r="P141" s="86" t="str">
        <f t="shared" si="105"/>
        <v>96,0576923076923</v>
      </c>
      <c r="Q141" s="4" t="str">
        <f t="shared" si="106"/>
        <v>1+1,42433151226306i</v>
      </c>
      <c r="R141" s="4">
        <f t="shared" si="118"/>
        <v>1.74032188310829</v>
      </c>
      <c r="S141" s="4">
        <f t="shared" si="119"/>
        <v>0.958673245492604</v>
      </c>
      <c r="T141" s="4" t="str">
        <f t="shared" si="107"/>
        <v>1+0,0167311551581687i</v>
      </c>
      <c r="U141" s="4">
        <f t="shared" si="120"/>
        <v>1.00013995598262</v>
      </c>
      <c r="V141" s="4">
        <f t="shared" si="121"/>
        <v>0.016729594227584</v>
      </c>
      <c r="W141" t="str">
        <f t="shared" si="108"/>
        <v>1-0,00794350478739586i</v>
      </c>
      <c r="X141" s="4">
        <f t="shared" si="122"/>
        <v>1.00003154913648</v>
      </c>
      <c r="Y141" s="4">
        <f t="shared" si="123"/>
        <v>-0.00794333771727439</v>
      </c>
      <c r="Z141" t="str">
        <f t="shared" si="109"/>
        <v>0,999999764568857+0,0136166784003143i</v>
      </c>
      <c r="AA141" s="4">
        <f t="shared" si="124"/>
        <v>1.00009246725912</v>
      </c>
      <c r="AB141" s="4">
        <f t="shared" si="125"/>
        <v>0.0136158401251673</v>
      </c>
      <c r="AC141" s="67" t="str">
        <f t="shared" si="126"/>
        <v>31,4995549815295-45,3297623014868i</v>
      </c>
      <c r="AD141" s="68">
        <f t="shared" si="127"/>
        <v>34.8387378181108</v>
      </c>
      <c r="AE141" s="31">
        <f t="shared" si="128"/>
        <v>-55.2046456567722</v>
      </c>
      <c r="AF141" s="32" t="str">
        <f t="shared" si="129"/>
        <v>236,914774604583</v>
      </c>
      <c r="AG141" s="32" t="str">
        <f t="shared" si="110"/>
        <v>1+0,351734511847864i</v>
      </c>
      <c r="AH141" s="32">
        <f t="shared" si="130"/>
        <v>1.0600552659295</v>
      </c>
      <c r="AI141" s="32">
        <f t="shared" si="131"/>
        <v>0.338219205047773</v>
      </c>
      <c r="AJ141" s="32" t="str">
        <f t="shared" si="111"/>
        <v>1+0,0167311551581687i</v>
      </c>
      <c r="AK141" s="32">
        <f t="shared" si="132"/>
        <v>1.00013995598262</v>
      </c>
      <c r="AL141" s="32">
        <f t="shared" si="133"/>
        <v>0.016729594227584</v>
      </c>
      <c r="AM141" s="32" t="str">
        <f t="shared" si="112"/>
        <v>1-0,000795323135113978i</v>
      </c>
      <c r="AN141" s="32">
        <f t="shared" si="134"/>
        <v>1.00000031626939</v>
      </c>
      <c r="AO141" s="32">
        <f t="shared" si="135"/>
        <v>-0.000795322967423104</v>
      </c>
      <c r="AP141" s="30" t="str">
        <f t="shared" si="136"/>
        <v>212,015874313703-70,79786600385i</v>
      </c>
      <c r="AQ141" s="32">
        <f t="shared" si="137"/>
        <v>46.9864910541011</v>
      </c>
      <c r="AR141" s="31">
        <f t="shared" si="138"/>
        <v>-18.4655665066834</v>
      </c>
      <c r="AS141" t="str">
        <f t="shared" si="113"/>
        <v>-0,000272527472527473</v>
      </c>
      <c r="AT141" t="str">
        <f t="shared" si="114"/>
        <v>0,000239763428829114i</v>
      </c>
      <c r="AU141">
        <f t="shared" si="139"/>
        <v>0.000239763428829114</v>
      </c>
      <c r="AV141">
        <f t="shared" si="140"/>
        <v>1.5707963267949</v>
      </c>
      <c r="AW141" t="str">
        <f t="shared" si="115"/>
        <v>1+0,0122754477863529i</v>
      </c>
      <c r="AX141">
        <f t="shared" si="141"/>
        <v>1.00007534047108</v>
      </c>
      <c r="AY141">
        <f t="shared" si="142"/>
        <v>0.012274831260188</v>
      </c>
      <c r="AZ141" t="str">
        <f t="shared" si="116"/>
        <v>1+0,586870876083722i</v>
      </c>
      <c r="BA141">
        <f t="shared" si="143"/>
        <v>1.15949015743786</v>
      </c>
      <c r="BB141">
        <f t="shared" si="144"/>
        <v>0.530709794924267</v>
      </c>
      <c r="BC141" s="30" t="str">
        <f t="shared" si="145"/>
        <v>-0,653016382205755+1,14466761648285i</v>
      </c>
      <c r="BD141" s="32">
        <f t="shared" si="146"/>
        <v>2.397233908087</v>
      </c>
      <c r="BE141" s="31">
        <f t="shared" si="147"/>
        <v>119.70413536997</v>
      </c>
      <c r="BF141" s="30" t="str">
        <f t="shared" si="148"/>
        <v>31,3177855342474+65,6575979053416i</v>
      </c>
      <c r="BG141" s="68">
        <f t="shared" si="149"/>
        <v>37.2359717261978</v>
      </c>
      <c r="BH141" s="31">
        <f t="shared" si="150"/>
        <v>64.4994897131977</v>
      </c>
      <c r="BI141" s="30" t="str">
        <f t="shared" si="156"/>
        <v>-57,4098146838252+288,919871832916i</v>
      </c>
      <c r="BJ141" s="68">
        <f t="shared" si="151"/>
        <v>49.3837249621881</v>
      </c>
      <c r="BK141" s="31">
        <f t="shared" si="157"/>
        <v>101.238568863287</v>
      </c>
      <c r="BL141" s="32">
        <f t="shared" si="152"/>
        <v>37.2359717261978</v>
      </c>
      <c r="BM141" s="31">
        <f t="shared" si="153"/>
        <v>64.4994897131977</v>
      </c>
      <c r="BO141">
        <f t="shared" si="154"/>
        <v>0</v>
      </c>
      <c r="BP141">
        <f t="shared" si="155"/>
        <v>0</v>
      </c>
    </row>
    <row r="142" spans="14:68">
      <c r="N142" s="7">
        <v>24</v>
      </c>
      <c r="O142" s="18">
        <f t="shared" si="158"/>
        <v>173.780082874938</v>
      </c>
      <c r="P142" s="86" t="str">
        <f t="shared" si="105"/>
        <v>96,0576923076923</v>
      </c>
      <c r="Q142" s="4" t="str">
        <f t="shared" si="106"/>
        <v>1+1,45750845518344i</v>
      </c>
      <c r="R142" s="4">
        <f t="shared" si="118"/>
        <v>1.76757769190811</v>
      </c>
      <c r="S142" s="4">
        <f t="shared" si="119"/>
        <v>0.969458656322653</v>
      </c>
      <c r="T142" s="4" t="str">
        <f t="shared" si="107"/>
        <v>1+0,0171208738261161i</v>
      </c>
      <c r="U142" s="4">
        <f t="shared" si="120"/>
        <v>1.00014655142163</v>
      </c>
      <c r="V142" s="4">
        <f t="shared" si="121"/>
        <v>0.0171192012720967</v>
      </c>
      <c r="W142" t="str">
        <f t="shared" si="108"/>
        <v>1-0,00812853278309084i</v>
      </c>
      <c r="X142" s="4">
        <f t="shared" si="122"/>
        <v>1.00003303597691</v>
      </c>
      <c r="Y142" s="4">
        <f t="shared" si="123"/>
        <v>-0.00812835376454975</v>
      </c>
      <c r="Z142" t="str">
        <f t="shared" si="109"/>
        <v>0,999999753473329+0,0139338515851824i</v>
      </c>
      <c r="AA142" s="4">
        <f t="shared" si="124"/>
        <v>1.00009682489583</v>
      </c>
      <c r="AB142" s="4">
        <f t="shared" si="125"/>
        <v>0.013932953361876</v>
      </c>
      <c r="AC142" s="67" t="str">
        <f t="shared" si="126"/>
        <v>30,5257344621401-44,9662807182269i</v>
      </c>
      <c r="AD142" s="68">
        <f t="shared" si="127"/>
        <v>34.7037915508451</v>
      </c>
      <c r="AE142" s="31">
        <f t="shared" si="128"/>
        <v>-55.8290512270718</v>
      </c>
      <c r="AF142" s="32" t="str">
        <f t="shared" si="129"/>
        <v>236,914774604583</v>
      </c>
      <c r="AG142" s="32" t="str">
        <f t="shared" si="110"/>
        <v>1+0,359927461117213i</v>
      </c>
      <c r="AH142" s="32">
        <f t="shared" si="130"/>
        <v>1.06280185230657</v>
      </c>
      <c r="AI142" s="32">
        <f t="shared" si="131"/>
        <v>0.345491362664154</v>
      </c>
      <c r="AJ142" s="32" t="str">
        <f t="shared" si="111"/>
        <v>1+0,0171208738261161i</v>
      </c>
      <c r="AK142" s="32">
        <f t="shared" si="132"/>
        <v>1.00014655142163</v>
      </c>
      <c r="AL142" s="32">
        <f t="shared" si="133"/>
        <v>0.0171192012720967</v>
      </c>
      <c r="AM142" s="32" t="str">
        <f t="shared" si="112"/>
        <v>1-0,000813848590760897i</v>
      </c>
      <c r="AN142" s="32">
        <f t="shared" si="134"/>
        <v>1.00000033117471</v>
      </c>
      <c r="AO142" s="32">
        <f t="shared" si="135"/>
        <v>-0.000813848411076892</v>
      </c>
      <c r="AP142" s="30" t="str">
        <f t="shared" si="136"/>
        <v>210,977008103357-72,0730436726416i</v>
      </c>
      <c r="AQ142" s="32">
        <f t="shared" si="137"/>
        <v>46.9640725651488</v>
      </c>
      <c r="AR142" s="31">
        <f t="shared" si="138"/>
        <v>-18.8609690364717</v>
      </c>
      <c r="AS142" t="str">
        <f t="shared" si="113"/>
        <v>-0,000272527472527473</v>
      </c>
      <c r="AT142" t="str">
        <f t="shared" si="114"/>
        <v>0,000245348236526039i</v>
      </c>
      <c r="AU142">
        <f t="shared" si="139"/>
        <v>0.000245348236526039</v>
      </c>
      <c r="AV142">
        <f t="shared" si="140"/>
        <v>1.5707963267949</v>
      </c>
      <c r="AW142" t="str">
        <f t="shared" si="115"/>
        <v>1+0,0125613796968833i</v>
      </c>
      <c r="AX142">
        <f t="shared" si="141"/>
        <v>1.00007889101805</v>
      </c>
      <c r="AY142">
        <f t="shared" si="142"/>
        <v>0.01256071908001</v>
      </c>
      <c r="AZ142" t="str">
        <f t="shared" si="116"/>
        <v>1+0,600540854870142i</v>
      </c>
      <c r="BA142">
        <f t="shared" si="143"/>
        <v>1.16646873870163</v>
      </c>
      <c r="BB142">
        <f t="shared" si="144"/>
        <v>0.540817092783624</v>
      </c>
      <c r="BC142" s="30" t="str">
        <f t="shared" si="145"/>
        <v>-0,653011745449118+1,11898092842366i</v>
      </c>
      <c r="BD142" s="32">
        <f t="shared" si="146"/>
        <v>2.24932382725709</v>
      </c>
      <c r="BE142" s="31">
        <f t="shared" si="147"/>
        <v>120.266860714103</v>
      </c>
      <c r="BF142" s="30" t="str">
        <f t="shared" si="148"/>
        <v>30,3827474036021+63,521224147424i</v>
      </c>
      <c r="BG142" s="68">
        <f t="shared" si="149"/>
        <v>36.9531153781022</v>
      </c>
      <c r="BH142" s="31">
        <f t="shared" si="150"/>
        <v>64.437809487031</v>
      </c>
      <c r="BI142" s="30" t="str">
        <f t="shared" si="156"/>
        <v>-57,1221029880744+283,143792452043i</v>
      </c>
      <c r="BJ142" s="68">
        <f t="shared" si="151"/>
        <v>49.2133963924059</v>
      </c>
      <c r="BK142" s="31">
        <f t="shared" si="157"/>
        <v>101.405891677631</v>
      </c>
      <c r="BL142" s="32">
        <f t="shared" si="152"/>
        <v>36.9531153781022</v>
      </c>
      <c r="BM142" s="31">
        <f t="shared" si="153"/>
        <v>64.437809487031</v>
      </c>
      <c r="BO142">
        <f t="shared" si="154"/>
        <v>0</v>
      </c>
      <c r="BP142">
        <f t="shared" si="155"/>
        <v>0</v>
      </c>
    </row>
    <row r="143" spans="14:68">
      <c r="N143" s="7">
        <v>25</v>
      </c>
      <c r="O143" s="18">
        <f t="shared" si="158"/>
        <v>177.827941003892</v>
      </c>
      <c r="P143" s="86" t="str">
        <f t="shared" si="105"/>
        <v>96,0576923076923</v>
      </c>
      <c r="Q143" s="4" t="str">
        <f t="shared" si="106"/>
        <v>1+1,49145818837915i</v>
      </c>
      <c r="R143" s="4">
        <f t="shared" si="118"/>
        <v>1.79567467200582</v>
      </c>
      <c r="S143" s="4">
        <f t="shared" si="119"/>
        <v>0.980155077085939</v>
      </c>
      <c r="T143" s="4" t="str">
        <f t="shared" si="107"/>
        <v>1+0,0175196702079875i</v>
      </c>
      <c r="U143" s="4">
        <f t="shared" si="120"/>
        <v>1.00015345764747</v>
      </c>
      <c r="V143" s="4">
        <f t="shared" si="121"/>
        <v>0.0175178780489177</v>
      </c>
      <c r="W143" t="str">
        <f t="shared" si="108"/>
        <v>1-0,00831787063446118i</v>
      </c>
      <c r="X143" s="4">
        <f t="shared" si="122"/>
        <v>1.00003459288761</v>
      </c>
      <c r="Y143" s="4">
        <f t="shared" si="123"/>
        <v>-0.00831767881299678</v>
      </c>
      <c r="Z143" t="str">
        <f t="shared" si="109"/>
        <v>0,999999741854885+0,0142584126825972i</v>
      </c>
      <c r="AA143" s="4">
        <f t="shared" si="124"/>
        <v>1.00010138788128</v>
      </c>
      <c r="AB143" s="4">
        <f t="shared" si="125"/>
        <v>0.0142574502242537</v>
      </c>
      <c r="AC143" s="67" t="str">
        <f t="shared" si="126"/>
        <v>29,5679167705128-44,5851394671189i</v>
      </c>
      <c r="AD143" s="68">
        <f t="shared" si="127"/>
        <v>34.566842518592</v>
      </c>
      <c r="AE143" s="31">
        <f t="shared" si="128"/>
        <v>-56.448508322914</v>
      </c>
      <c r="AF143" s="32" t="str">
        <f t="shared" si="129"/>
        <v>236,914774604583</v>
      </c>
      <c r="AG143" s="32" t="str">
        <f t="shared" si="110"/>
        <v>1+0,368311248690645i</v>
      </c>
      <c r="AH143" s="32">
        <f t="shared" si="130"/>
        <v>1.06567029418674</v>
      </c>
      <c r="AI143" s="32">
        <f t="shared" si="131"/>
        <v>0.352893703352456</v>
      </c>
      <c r="AJ143" s="32" t="str">
        <f t="shared" si="111"/>
        <v>1+0,0175196702079875i</v>
      </c>
      <c r="AK143" s="32">
        <f t="shared" si="132"/>
        <v>1.00015345764747</v>
      </c>
      <c r="AL143" s="32">
        <f t="shared" si="133"/>
        <v>0.0175178780489177</v>
      </c>
      <c r="AM143" s="32" t="str">
        <f t="shared" si="112"/>
        <v>1-0,000832805559703188i</v>
      </c>
      <c r="AN143" s="32">
        <f t="shared" si="134"/>
        <v>1.00000034678249</v>
      </c>
      <c r="AO143" s="32">
        <f t="shared" si="135"/>
        <v>-0.000832805367168311</v>
      </c>
      <c r="AP143" s="30" t="str">
        <f t="shared" si="136"/>
        <v>209,900614974879-73,3553928253266i</v>
      </c>
      <c r="AQ143" s="32">
        <f t="shared" si="137"/>
        <v>46.9407215337518</v>
      </c>
      <c r="AR143" s="31">
        <f t="shared" si="138"/>
        <v>-19.2633355733041</v>
      </c>
      <c r="AS143" t="str">
        <f t="shared" si="113"/>
        <v>-0,000272527472527473</v>
      </c>
      <c r="AT143" t="str">
        <f t="shared" si="114"/>
        <v>0,000251063131105535i</v>
      </c>
      <c r="AU143">
        <f t="shared" si="139"/>
        <v>0.000251063131105535</v>
      </c>
      <c r="AV143">
        <f t="shared" si="140"/>
        <v>1.5707963267949</v>
      </c>
      <c r="AW143" t="str">
        <f t="shared" si="115"/>
        <v>1+0,0128539718171983i</v>
      </c>
      <c r="AX143">
        <f t="shared" si="141"/>
        <v>1.00008260888362</v>
      </c>
      <c r="AY143">
        <f t="shared" si="142"/>
        <v>0.0128532639566231</v>
      </c>
      <c r="AZ143" t="str">
        <f t="shared" si="116"/>
        <v>1+0,614529248366907i</v>
      </c>
      <c r="BA143">
        <f t="shared" si="143"/>
        <v>1.17373173983598</v>
      </c>
      <c r="BB143">
        <f t="shared" si="144"/>
        <v>0.551034329225487</v>
      </c>
      <c r="BC143" s="30" t="str">
        <f t="shared" si="145"/>
        <v>-0,653006890239447+1,09388753337374i</v>
      </c>
      <c r="BD143" s="32">
        <f t="shared" si="146"/>
        <v>2.10320642959306</v>
      </c>
      <c r="BE143" s="31">
        <f t="shared" si="147"/>
        <v>120.83550365376</v>
      </c>
      <c r="BF143" s="30" t="str">
        <f t="shared" si="148"/>
        <v>29,4630748556395+61,4583788174116i</v>
      </c>
      <c r="BG143" s="68">
        <f t="shared" si="149"/>
        <v>36.6700489481851</v>
      </c>
      <c r="BH143" s="31">
        <f t="shared" si="150"/>
        <v>64.3869953308465</v>
      </c>
      <c r="BI143" s="30" t="str">
        <f t="shared" si="156"/>
        <v>-56,823998126735+277,509242919661i</v>
      </c>
      <c r="BJ143" s="68">
        <f t="shared" si="151"/>
        <v>49.0439279633448</v>
      </c>
      <c r="BK143" s="31">
        <f t="shared" si="157"/>
        <v>101.572168080456</v>
      </c>
      <c r="BL143" s="32">
        <f t="shared" si="152"/>
        <v>36.6700489481851</v>
      </c>
      <c r="BM143" s="31">
        <f t="shared" si="153"/>
        <v>64.3869953308465</v>
      </c>
      <c r="BO143">
        <f t="shared" si="154"/>
        <v>0</v>
      </c>
      <c r="BP143">
        <f t="shared" si="155"/>
        <v>0</v>
      </c>
    </row>
    <row r="144" spans="14:68">
      <c r="N144" s="7">
        <v>26</v>
      </c>
      <c r="O144" s="18">
        <f t="shared" si="158"/>
        <v>181.970085860998</v>
      </c>
      <c r="P144" s="86" t="str">
        <f t="shared" si="105"/>
        <v>96,0576923076923</v>
      </c>
      <c r="Q144" s="4" t="str">
        <f t="shared" si="106"/>
        <v>1+1,52619871244814i</v>
      </c>
      <c r="R144" s="4">
        <f t="shared" si="118"/>
        <v>1.82463215741649</v>
      </c>
      <c r="S144" s="4">
        <f t="shared" si="119"/>
        <v>0.990758388631632</v>
      </c>
      <c r="T144" s="4" t="str">
        <f t="shared" si="107"/>
        <v>1+0,0179277557509035i</v>
      </c>
      <c r="U144" s="4">
        <f t="shared" si="120"/>
        <v>1.00016068930261</v>
      </c>
      <c r="V144" s="4">
        <f t="shared" si="121"/>
        <v>0.017925835434525</v>
      </c>
      <c r="W144" t="str">
        <f t="shared" si="108"/>
        <v>1-0,00851161873094201i</v>
      </c>
      <c r="X144" s="4">
        <f t="shared" si="122"/>
        <v>1.00003622317065</v>
      </c>
      <c r="Y144" s="4">
        <f t="shared" si="123"/>
        <v>-0.00851141319094185</v>
      </c>
      <c r="Z144" t="str">
        <f t="shared" si="109"/>
        <v>0,99999972968888+0,0145905337791487i</v>
      </c>
      <c r="AA144" s="4">
        <f t="shared" si="124"/>
        <v>1.0001061658913</v>
      </c>
      <c r="AB144" s="4">
        <f t="shared" si="125"/>
        <v>0.0145895024923657</v>
      </c>
      <c r="AC144" s="67" t="str">
        <f t="shared" si="126"/>
        <v>28,6267007284407-44,1871829493188i</v>
      </c>
      <c r="AD144" s="68">
        <f t="shared" si="127"/>
        <v>34.4279246319646</v>
      </c>
      <c r="AE144" s="31">
        <f t="shared" si="128"/>
        <v>-57.0627844426716</v>
      </c>
      <c r="AF144" s="32" t="str">
        <f t="shared" si="129"/>
        <v>236,914774604583</v>
      </c>
      <c r="AG144" s="32" t="str">
        <f t="shared" si="110"/>
        <v>1+0,376890319763312i</v>
      </c>
      <c r="AH144" s="32">
        <f t="shared" si="130"/>
        <v>1.06866566948288</v>
      </c>
      <c r="AI144" s="32">
        <f t="shared" si="131"/>
        <v>0.360426906087882</v>
      </c>
      <c r="AJ144" s="32" t="str">
        <f t="shared" si="111"/>
        <v>1+0,0179277557509035i</v>
      </c>
      <c r="AK144" s="32">
        <f t="shared" si="132"/>
        <v>1.00016068930261</v>
      </c>
      <c r="AL144" s="32">
        <f t="shared" si="133"/>
        <v>0.017925835434525</v>
      </c>
      <c r="AM144" s="32" t="str">
        <f t="shared" si="112"/>
        <v>1-0,000852204093176725i</v>
      </c>
      <c r="AN144" s="32">
        <f t="shared" si="134"/>
        <v>1.00000036312584</v>
      </c>
      <c r="AO144" s="32">
        <f t="shared" si="135"/>
        <v>-0.000852203886871891</v>
      </c>
      <c r="AP144" s="30" t="str">
        <f t="shared" si="136"/>
        <v>208,785828205267-74,6439070820919i</v>
      </c>
      <c r="AQ144" s="32">
        <f t="shared" si="137"/>
        <v>46.9164045158119</v>
      </c>
      <c r="AR144" s="31">
        <f t="shared" si="138"/>
        <v>-19.6726935131518</v>
      </c>
      <c r="AS144" t="str">
        <f t="shared" si="113"/>
        <v>-0,000272527472527473</v>
      </c>
      <c r="AT144" t="str">
        <f t="shared" si="114"/>
        <v>0,000256911142680358i</v>
      </c>
      <c r="AU144">
        <f t="shared" si="139"/>
        <v>0.000256911142680358</v>
      </c>
      <c r="AV144">
        <f t="shared" si="140"/>
        <v>1.5707963267949</v>
      </c>
      <c r="AW144" t="str">
        <f t="shared" si="115"/>
        <v>1+0,0131533792835134i</v>
      </c>
      <c r="AX144">
        <f t="shared" si="141"/>
        <v>1.00008650195199</v>
      </c>
      <c r="AY144">
        <f t="shared" si="142"/>
        <v>0.0131526208007849</v>
      </c>
      <c r="AZ144" t="str">
        <f t="shared" si="116"/>
        <v>1+0,628843473405416i</v>
      </c>
      <c r="BA144">
        <f t="shared" si="143"/>
        <v>1.18128917460738</v>
      </c>
      <c r="BB144">
        <f t="shared" si="144"/>
        <v>0.561358388341539</v>
      </c>
      <c r="BC144" s="30" t="str">
        <f t="shared" si="145"/>
        <v>-0,653001806288178+1,06937412609031i</v>
      </c>
      <c r="BD144" s="32">
        <f t="shared" si="146"/>
        <v>1.95892012235452</v>
      </c>
      <c r="BE144" s="31">
        <f t="shared" si="147"/>
        <v>121.409876784815</v>
      </c>
      <c r="BF144" s="30" t="str">
        <f t="shared" si="148"/>
        <v>28,5593428670776+59,4669633550165i</v>
      </c>
      <c r="BG144" s="68">
        <f t="shared" si="149"/>
        <v>36.3868447543191</v>
      </c>
      <c r="BH144" s="31">
        <f t="shared" si="150"/>
        <v>64.3470923421434</v>
      </c>
      <c r="BI144" s="30" t="str">
        <f t="shared" si="156"/>
        <v>-56,5152600415343+272,012768730062i</v>
      </c>
      <c r="BJ144" s="68">
        <f t="shared" si="151"/>
        <v>48.8753246381664</v>
      </c>
      <c r="BK144" s="31">
        <f t="shared" si="157"/>
        <v>101.737183271663</v>
      </c>
      <c r="BL144" s="32">
        <f t="shared" si="152"/>
        <v>36.3868447543191</v>
      </c>
      <c r="BM144" s="31">
        <f t="shared" si="153"/>
        <v>64.3470923421434</v>
      </c>
      <c r="BO144">
        <f t="shared" si="154"/>
        <v>0</v>
      </c>
      <c r="BP144">
        <f t="shared" si="155"/>
        <v>0</v>
      </c>
    </row>
    <row r="145" spans="14:68">
      <c r="N145" s="7">
        <v>27</v>
      </c>
      <c r="O145" s="18">
        <f t="shared" si="158"/>
        <v>186.208713666287</v>
      </c>
      <c r="P145" s="86" t="str">
        <f t="shared" si="105"/>
        <v>96,0576923076923</v>
      </c>
      <c r="Q145" s="4" t="str">
        <f t="shared" si="106"/>
        <v>1+1,5617484472761i</v>
      </c>
      <c r="R145" s="4">
        <f t="shared" si="118"/>
        <v>1.85446979284358</v>
      </c>
      <c r="S145" s="4">
        <f t="shared" si="119"/>
        <v>1.00126467579876</v>
      </c>
      <c r="T145" s="4" t="str">
        <f t="shared" si="107"/>
        <v>1+0,0183453468272207i</v>
      </c>
      <c r="U145" s="4">
        <f t="shared" si="120"/>
        <v>1.0001682617191</v>
      </c>
      <c r="V145" s="4">
        <f t="shared" si="121"/>
        <v>0.0183432891898446</v>
      </c>
      <c r="W145" t="str">
        <f t="shared" si="108"/>
        <v>1-0,00870987980033864i</v>
      </c>
      <c r="X145" s="4">
        <f t="shared" si="122"/>
        <v>1.00003793028372</v>
      </c>
      <c r="Y145" s="4">
        <f t="shared" si="123"/>
        <v>-0.00870965956071162</v>
      </c>
      <c r="Z145" t="str">
        <f t="shared" si="109"/>
        <v>0,99999971694951+0,0149303909698387i</v>
      </c>
      <c r="AA145" s="4">
        <f t="shared" si="124"/>
        <v>1.00011116905753</v>
      </c>
      <c r="AB145" s="4">
        <f t="shared" si="125"/>
        <v>0.0149292859327755</v>
      </c>
      <c r="AC145" s="67" t="str">
        <f t="shared" si="126"/>
        <v>27,7026300143623-43,7732738913016i</v>
      </c>
      <c r="AD145" s="68">
        <f t="shared" si="127"/>
        <v>34.2870729904335</v>
      </c>
      <c r="AE145" s="31">
        <f t="shared" si="128"/>
        <v>-57.6716588547545</v>
      </c>
      <c r="AF145" s="32" t="str">
        <f t="shared" si="129"/>
        <v>236,914774604583</v>
      </c>
      <c r="AG145" s="32" t="str">
        <f t="shared" si="110"/>
        <v>1+0,385669223072253i</v>
      </c>
      <c r="AH145" s="32">
        <f t="shared" si="130"/>
        <v>1.07179324014716</v>
      </c>
      <c r="AI145" s="32">
        <f t="shared" si="131"/>
        <v>0.368091544058017</v>
      </c>
      <c r="AJ145" s="32" t="str">
        <f t="shared" si="111"/>
        <v>1+0,0183453468272207i</v>
      </c>
      <c r="AK145" s="32">
        <f t="shared" si="132"/>
        <v>1.0001682617191</v>
      </c>
      <c r="AL145" s="32">
        <f t="shared" si="133"/>
        <v>0.0183432891898446</v>
      </c>
      <c r="AM145" s="32" t="str">
        <f t="shared" si="112"/>
        <v>1-0,000872054476540724i</v>
      </c>
      <c r="AN145" s="32">
        <f t="shared" si="134"/>
        <v>1.00000038023943</v>
      </c>
      <c r="AO145" s="32">
        <f t="shared" si="135"/>
        <v>-0.000872054255481117</v>
      </c>
      <c r="AP145" s="30" t="str">
        <f t="shared" si="136"/>
        <v>207,631802458-75,9375148202071i</v>
      </c>
      <c r="AQ145" s="32">
        <f t="shared" si="137"/>
        <v>46.8910873158992</v>
      </c>
      <c r="AR145" s="31">
        <f t="shared" si="138"/>
        <v>-20.0890639243576</v>
      </c>
      <c r="AS145" t="str">
        <f t="shared" si="113"/>
        <v>-0,000272527472527473</v>
      </c>
      <c r="AT145" t="str">
        <f t="shared" si="114"/>
        <v>0,000262895371943653i</v>
      </c>
      <c r="AU145">
        <f t="shared" si="139"/>
        <v>0.000262895371943653</v>
      </c>
      <c r="AV145">
        <f t="shared" si="140"/>
        <v>1.5707963267949</v>
      </c>
      <c r="AW145" t="str">
        <f t="shared" si="115"/>
        <v>1+0,0134597608456302i</v>
      </c>
      <c r="AX145">
        <f t="shared" si="141"/>
        <v>1.00009057847878</v>
      </c>
      <c r="AY145">
        <f t="shared" si="142"/>
        <v>0.0134589481207194</v>
      </c>
      <c r="AZ145" t="str">
        <f t="shared" si="116"/>
        <v>1+0,643491119577256i</v>
      </c>
      <c r="BA145">
        <f t="shared" si="143"/>
        <v>1.18915130281003</v>
      </c>
      <c r="BB145">
        <f t="shared" si="144"/>
        <v>0.571785940502563</v>
      </c>
      <c r="BC145" s="30" t="str">
        <f t="shared" si="145"/>
        <v>-0,652996482822512+1,04542770881976i</v>
      </c>
      <c r="BD145" s="32">
        <f t="shared" si="146"/>
        <v>1.81650255572868</v>
      </c>
      <c r="BE145" s="31">
        <f t="shared" si="147"/>
        <v>121.989780251712</v>
      </c>
      <c r="BF145" s="30" t="str">
        <f t="shared" si="148"/>
        <v>27,6720734674113+57,5448909168427i</v>
      </c>
      <c r="BG145" s="68">
        <f t="shared" si="149"/>
        <v>36.1035755461622</v>
      </c>
      <c r="BH145" s="31">
        <f t="shared" si="150"/>
        <v>64.3181213969579</v>
      </c>
      <c r="BI145" s="30" t="str">
        <f t="shared" si="156"/>
        <v>-56,1956545952169+266,650969613662i</v>
      </c>
      <c r="BJ145" s="68">
        <f t="shared" si="151"/>
        <v>48.7075898716279</v>
      </c>
      <c r="BK145" s="31">
        <f t="shared" si="157"/>
        <v>101.900716327355</v>
      </c>
      <c r="BL145" s="32">
        <f t="shared" si="152"/>
        <v>36.1035755461622</v>
      </c>
      <c r="BM145" s="31">
        <f t="shared" si="153"/>
        <v>64.3181213969579</v>
      </c>
      <c r="BO145">
        <f t="shared" si="154"/>
        <v>0</v>
      </c>
      <c r="BP145">
        <f t="shared" si="155"/>
        <v>0</v>
      </c>
    </row>
    <row r="146" spans="14:68">
      <c r="N146" s="7">
        <v>28</v>
      </c>
      <c r="O146" s="18">
        <f t="shared" si="158"/>
        <v>190.546071796325</v>
      </c>
      <c r="P146" s="86" t="str">
        <f t="shared" si="105"/>
        <v>96,0576923076923</v>
      </c>
      <c r="Q146" s="4" t="str">
        <f t="shared" si="106"/>
        <v>1+1,59812624180298i</v>
      </c>
      <c r="R146" s="4">
        <f t="shared" si="118"/>
        <v>1.88520754420815</v>
      </c>
      <c r="S146" s="4">
        <f t="shared" si="119"/>
        <v>1.01167023130597</v>
      </c>
      <c r="T146" s="4" t="str">
        <f t="shared" si="107"/>
        <v>1+0,0187726648492549i</v>
      </c>
      <c r="U146" s="4">
        <f t="shared" si="120"/>
        <v>1.00017619095115</v>
      </c>
      <c r="V146" s="4">
        <f t="shared" si="121"/>
        <v>0.0187704600720596</v>
      </c>
      <c r="W146" t="str">
        <f t="shared" si="108"/>
        <v>1-0,00891275896329422i</v>
      </c>
      <c r="X146" s="4">
        <f t="shared" si="122"/>
        <v>1.00003971784742</v>
      </c>
      <c r="Y146" s="4">
        <f t="shared" si="123"/>
        <v>-0.0089125229727883</v>
      </c>
      <c r="Z146" t="str">
        <f t="shared" si="109"/>
        <v>0,999999703609751+0,0152781644514477i</v>
      </c>
      <c r="AA146" s="4">
        <f t="shared" si="124"/>
        <v>1.00011640798889</v>
      </c>
      <c r="AB146" s="4">
        <f t="shared" si="125"/>
        <v>0.0152769803903448</v>
      </c>
      <c r="AC146" s="67" t="str">
        <f t="shared" si="126"/>
        <v>26,7961930135875-43,3442892723794i</v>
      </c>
      <c r="AD146" s="68">
        <f t="shared" si="127"/>
        <v>34.1443237678438</v>
      </c>
      <c r="AE146" s="31">
        <f t="shared" si="128"/>
        <v>-58.2749228224332</v>
      </c>
      <c r="AF146" s="32" t="str">
        <f t="shared" si="129"/>
        <v>236,914774604583</v>
      </c>
      <c r="AG146" s="32" t="str">
        <f t="shared" si="110"/>
        <v>1+0,394652613308199i</v>
      </c>
      <c r="AH146" s="32">
        <f t="shared" si="130"/>
        <v>1.07505845663898</v>
      </c>
      <c r="AI146" s="32">
        <f t="shared" si="131"/>
        <v>0.375888077968641</v>
      </c>
      <c r="AJ146" s="32" t="str">
        <f t="shared" si="111"/>
        <v>1+0,0187726648492549i</v>
      </c>
      <c r="AK146" s="32">
        <f t="shared" si="132"/>
        <v>1.00017619095115</v>
      </c>
      <c r="AL146" s="32">
        <f t="shared" si="133"/>
        <v>0.0187704600720596</v>
      </c>
      <c r="AM146" s="32" t="str">
        <f t="shared" si="112"/>
        <v>1-0,000892367234731184i</v>
      </c>
      <c r="AN146" s="32">
        <f t="shared" si="134"/>
        <v>1.00000039815956</v>
      </c>
      <c r="AO146" s="32">
        <f t="shared" si="135"/>
        <v>-0.000892366997861552</v>
      </c>
      <c r="AP146" s="30" t="str">
        <f t="shared" si="136"/>
        <v>206,437717974585-77,235078204843i</v>
      </c>
      <c r="AQ146" s="32">
        <f t="shared" si="137"/>
        <v>46.8647350082838</v>
      </c>
      <c r="AR146" s="31">
        <f t="shared" si="138"/>
        <v>-20.5124611579939</v>
      </c>
      <c r="AS146" t="str">
        <f t="shared" si="113"/>
        <v>-0,000272527472527473</v>
      </c>
      <c r="AT146" t="str">
        <f t="shared" si="114"/>
        <v>0,000269018991812982i</v>
      </c>
      <c r="AU146">
        <f t="shared" si="139"/>
        <v>0.000269018991812982</v>
      </c>
      <c r="AV146">
        <f t="shared" si="140"/>
        <v>1.5707963267949</v>
      </c>
      <c r="AW146" t="str">
        <f t="shared" si="115"/>
        <v>1+0,0137732789511083i</v>
      </c>
      <c r="AX146">
        <f t="shared" si="141"/>
        <v>1.00009484710855</v>
      </c>
      <c r="AY146">
        <f t="shared" si="142"/>
        <v>0.013772408105137</v>
      </c>
      <c r="AZ146" t="str">
        <f t="shared" si="116"/>
        <v>1+0,658479953258302i</v>
      </c>
      <c r="BA146">
        <f t="shared" si="143"/>
        <v>1.19732863026116</v>
      </c>
      <c r="BB146">
        <f t="shared" si="144"/>
        <v>0.582313443633931</v>
      </c>
      <c r="BC146" s="30" t="str">
        <f t="shared" si="145"/>
        <v>-0,652990908562665+1,02203558440403i</v>
      </c>
      <c r="BD146" s="32">
        <f t="shared" si="146"/>
        <v>1.67599050976302</v>
      </c>
      <c r="BE146" s="31">
        <f t="shared" si="147"/>
        <v>122.575001815797</v>
      </c>
      <c r="BF146" s="30" t="str">
        <f t="shared" si="148"/>
        <v>26,8017355951106+55,6900896194191i</v>
      </c>
      <c r="BG146" s="68">
        <f t="shared" si="149"/>
        <v>35.8203142776068</v>
      </c>
      <c r="BH146" s="31">
        <f t="shared" si="150"/>
        <v>64.3000789933639</v>
      </c>
      <c r="BI146" s="30" t="str">
        <f t="shared" si="156"/>
        <v>-55,8649547322498+261,420497623078i</v>
      </c>
      <c r="BJ146" s="68">
        <f t="shared" si="151"/>
        <v>48.5407255180469</v>
      </c>
      <c r="BK146" s="31">
        <f t="shared" si="157"/>
        <v>102.062540657803</v>
      </c>
      <c r="BL146" s="32">
        <f t="shared" si="152"/>
        <v>35.8203142776068</v>
      </c>
      <c r="BM146" s="31">
        <f t="shared" si="153"/>
        <v>64.3000789933639</v>
      </c>
      <c r="BO146">
        <f t="shared" si="154"/>
        <v>0</v>
      </c>
      <c r="BP146">
        <f t="shared" si="155"/>
        <v>0</v>
      </c>
    </row>
    <row r="147" spans="14:68">
      <c r="N147" s="7">
        <v>29</v>
      </c>
      <c r="O147" s="18">
        <f t="shared" si="158"/>
        <v>194.984459975805</v>
      </c>
      <c r="P147" s="86" t="str">
        <f t="shared" ref="P147:P210" si="159">COMPLEX(Adc,0)</f>
        <v>96,0576923076923</v>
      </c>
      <c r="Q147" s="4" t="str">
        <f t="shared" ref="Q147:Q210" si="160">IMSUM(COMPLEX(1,0),IMDIV(COMPLEX(0,2*PI()*O147),COMPLEX(wp_lf,0)))</f>
        <v>1+1,63535138401696i</v>
      </c>
      <c r="R147" s="4">
        <f t="shared" si="118"/>
        <v>1.9168657097476</v>
      </c>
      <c r="S147" s="4">
        <f t="shared" si="119"/>
        <v>1.02197155867857</v>
      </c>
      <c r="T147" s="4" t="str">
        <f t="shared" ref="T147:T210" si="161">IMSUM(COMPLEX(1,0),IMDIV(COMPLEX(0,2*PI()*O147),COMPLEX(wz_esr,0)))</f>
        <v>1+0,0192099363866777i</v>
      </c>
      <c r="U147" s="4">
        <f t="shared" si="120"/>
        <v>1.00018449380901</v>
      </c>
      <c r="V147" s="4">
        <f t="shared" si="121"/>
        <v>0.0192075739488845</v>
      </c>
      <c r="W147" t="str">
        <f t="shared" ref="W147:W210" si="162">IMSUB(COMPLEX(1,0),IMDIV(COMPLEX(0,2*PI()*O147),COMPLEX(wz_rhp,0)))</f>
        <v>1-0,0091203637890264i</v>
      </c>
      <c r="X147" s="4">
        <f t="shared" si="122"/>
        <v>1.00004158965297</v>
      </c>
      <c r="Y147" s="4">
        <f t="shared" si="123"/>
        <v>-0.00912011092121142</v>
      </c>
      <c r="Z147" t="str">
        <f t="shared" ref="Z147:Z210" si="163">IMSUM(COMPLEX(1,0),IMDIV(COMPLEX(0,2*PI()*O147),COMPLEX(Q*(wsl/2),0)),IMDIV(IMPOWER(COMPLEX(0,2*PI()*O147),2),IMPOWER(COMPLEX(wsl/2,0),2)))</f>
        <v>0,999999689641309+0,0156340386180793i</v>
      </c>
      <c r="AA147" s="4">
        <f t="shared" si="124"/>
        <v>1.00012189379406</v>
      </c>
      <c r="AB147" s="4">
        <f t="shared" si="125"/>
        <v>0.0156327698821003</v>
      </c>
      <c r="AC147" s="67" t="str">
        <f t="shared" si="126"/>
        <v>25,9078229987069-42,9011163430955i</v>
      </c>
      <c r="AD147" s="68">
        <f t="shared" si="127"/>
        <v>33.9997140979733</v>
      </c>
      <c r="AE147" s="31">
        <f t="shared" si="128"/>
        <v>-58.8723797735519</v>
      </c>
      <c r="AF147" s="32" t="str">
        <f t="shared" si="129"/>
        <v>236,914774604583</v>
      </c>
      <c r="AG147" s="32" t="str">
        <f t="shared" ref="AG147:AG210" si="164">IMSUM(COMPLEX(1,0),IMDIV(COMPLEX(0,2*PI()*O147),COMPLEX(wp_lf_DCM,0)))</f>
        <v>1+0,403845253583564i</v>
      </c>
      <c r="AH147" s="32">
        <f t="shared" si="130"/>
        <v>1.07846696233217</v>
      </c>
      <c r="AI147" s="32">
        <f t="shared" si="131"/>
        <v>0.383816849262876</v>
      </c>
      <c r="AJ147" s="32" t="str">
        <f t="shared" ref="AJ147:AJ210" si="165">IMSUM(COMPLEX(1,0),IMDIV(COMPLEX(0,2*PI()*O147),COMPLEX(wz1_dcm,0)))</f>
        <v>1+0,0192099363866777i</v>
      </c>
      <c r="AK147" s="32">
        <f t="shared" si="132"/>
        <v>1.00018449380901</v>
      </c>
      <c r="AL147" s="32">
        <f t="shared" si="133"/>
        <v>0.0192075739488845</v>
      </c>
      <c r="AM147" s="32" t="str">
        <f t="shared" ref="AM147:AM210" si="166">IMSUB(COMPLEX(1,0),IMDIV(COMPLEX(0,2*PI()*O147),COMPLEX(wz2_dcm,0)))</f>
        <v>1-0,00091315313784137i</v>
      </c>
      <c r="AN147" s="32">
        <f t="shared" si="134"/>
        <v>1.00000041692424</v>
      </c>
      <c r="AO147" s="32">
        <f t="shared" si="135"/>
        <v>-0.000913152884030992</v>
      </c>
      <c r="AP147" s="30" t="str">
        <f t="shared" si="136"/>
        <v>205,202784988588-78,5353924603829i</v>
      </c>
      <c r="AQ147" s="32">
        <f t="shared" si="137"/>
        <v>46.8373119617867</v>
      </c>
      <c r="AR147" s="31">
        <f t="shared" si="138"/>
        <v>-20.9428924531204</v>
      </c>
      <c r="AS147" t="str">
        <f t="shared" ref="AS147:AS210" si="167">COMPLEX(Adc_ea,0)</f>
        <v>-0,000272527472527473</v>
      </c>
      <c r="AT147" t="str">
        <f t="shared" ref="AT147:AT210" si="168">COMPLEX(0,2*PI()*O147*wp0_ea)</f>
        <v>0,000275285249112658i</v>
      </c>
      <c r="AU147">
        <f t="shared" si="139"/>
        <v>0.000275285249112658</v>
      </c>
      <c r="AV147">
        <f t="shared" si="140"/>
        <v>1.5707963267949</v>
      </c>
      <c r="AW147" t="str">
        <f t="shared" ref="AW147:AW210" si="169">IMSUM(COMPLEX(1,0),IMDIV(COMPLEX(0,2*PI()*O147),COMPLEX(wp1_ea,0)))</f>
        <v>1+0,014094099831397i</v>
      </c>
      <c r="AX147">
        <f t="shared" si="141"/>
        <v>1.00009931689311</v>
      </c>
      <c r="AY147">
        <f t="shared" si="142"/>
        <v>0.0140931667081316</v>
      </c>
      <c r="AZ147" t="str">
        <f t="shared" ref="AZ147:AZ210" si="170">IMSUM(COMPLEX(1,0),IMDIV(COMPLEX(0,2*PI()*O147),COMPLEX(wz_ea,0)))</f>
        <v>1+0,673817921726575i</v>
      </c>
      <c r="BA147">
        <f t="shared" si="143"/>
        <v>1.20583190853449</v>
      </c>
      <c r="BB147">
        <f t="shared" si="144"/>
        <v>0.592937145404565</v>
      </c>
      <c r="BC147" s="30" t="str">
        <f t="shared" si="145"/>
        <v>-0,652985071698044+0,99918534954624i</v>
      </c>
      <c r="BD147" s="32">
        <f t="shared" si="146"/>
        <v>1.53741978009471</v>
      </c>
      <c r="BE147" s="31">
        <f t="shared" si="147"/>
        <v>123.165316975866</v>
      </c>
      <c r="BF147" s="30" t="str">
        <f t="shared" si="148"/>
        <v>25,9487452708489+53,9005057101674i</v>
      </c>
      <c r="BG147" s="68">
        <f t="shared" si="149"/>
        <v>35.537133878068</v>
      </c>
      <c r="BH147" s="31">
        <f t="shared" si="150"/>
        <v>64.2929372023143</v>
      </c>
      <c r="BI147" s="30" t="str">
        <f t="shared" si="156"/>
        <v>-55,5229417011326+256,318055323261i</v>
      </c>
      <c r="BJ147" s="68">
        <f t="shared" si="151"/>
        <v>48.3747317418813</v>
      </c>
      <c r="BK147" s="31">
        <f t="shared" si="157"/>
        <v>102.222424522746</v>
      </c>
      <c r="BL147" s="32">
        <f t="shared" si="152"/>
        <v>35.537133878068</v>
      </c>
      <c r="BM147" s="31">
        <f t="shared" si="153"/>
        <v>64.2929372023143</v>
      </c>
      <c r="BO147">
        <f t="shared" si="154"/>
        <v>0</v>
      </c>
      <c r="BP147">
        <f t="shared" si="155"/>
        <v>0</v>
      </c>
    </row>
    <row r="148" spans="14:68">
      <c r="N148" s="7">
        <v>30</v>
      </c>
      <c r="O148" s="18">
        <f t="shared" si="158"/>
        <v>199.526231496888</v>
      </c>
      <c r="P148" s="86" t="str">
        <f t="shared" si="159"/>
        <v>96,0576923076923</v>
      </c>
      <c r="Q148" s="4" t="str">
        <f t="shared" si="160"/>
        <v>1+1,67344361118119i</v>
      </c>
      <c r="R148" s="4">
        <f t="shared" ref="R148:R211" si="171">IMABS(Q148)</f>
        <v>1.94946493166795</v>
      </c>
      <c r="S148" s="4">
        <f t="shared" ref="S148:S211" si="172">IMARGUMENT(Q148)</f>
        <v>1.03216537423799</v>
      </c>
      <c r="T148" s="4" t="str">
        <f t="shared" si="161"/>
        <v>1+0,0196573932866464i</v>
      </c>
      <c r="U148" s="4">
        <f t="shared" ref="U148:U211" si="173">IMABS(T148)</f>
        <v>1.00019318789463</v>
      </c>
      <c r="V148" s="4">
        <f t="shared" ref="V148:V211" si="174">IMARGUMENT(T148)</f>
        <v>0.01965486191535</v>
      </c>
      <c r="W148" t="str">
        <f t="shared" si="162"/>
        <v>1-0,00933280435236187i</v>
      </c>
      <c r="X148" s="4">
        <f t="shared" ref="X148:X211" si="175">IMABS(W148)</f>
        <v>1.00004354967025</v>
      </c>
      <c r="Y148" s="4">
        <f t="shared" ref="Y148:Y211" si="176">IMARGUMENT(W148)</f>
        <v>-0.00933253340025372</v>
      </c>
      <c r="Z148" t="str">
        <f t="shared" si="163"/>
        <v>0,999999675014555+0,0159982021589273i</v>
      </c>
      <c r="AA148" s="4">
        <f t="shared" ref="AA148:AA211" si="177">IMABS(Z148)</f>
        <v>1.00012763810502</v>
      </c>
      <c r="AB148" s="4">
        <f t="shared" ref="AB148:AB211" si="178">IMARGUMENT(Z148)</f>
        <v>0.0159968426932028</v>
      </c>
      <c r="AC148" s="67" t="str">
        <f t="shared" ref="AC148:AC211" si="179">(IMDIV(IMPRODUCT(P148,T148,W148),IMPRODUCT(Q148,Z148)))</f>
        <v>25,0378986217572-42,4446487623169i</v>
      </c>
      <c r="AD148" s="68">
        <f t="shared" ref="AD148:AD211" si="180">20*LOG(IMABS(AC148))</f>
        <v>33.8532819608008</v>
      </c>
      <c r="AE148" s="31">
        <f t="shared" ref="AE148:AE211" si="181">(180/PI())*IMARGUMENT(AC148)</f>
        <v>-59.4638454165707</v>
      </c>
      <c r="AF148" s="32" t="str">
        <f t="shared" ref="AF148:AF211" si="182">COMPLEX($B$68,0)</f>
        <v>236,914774604583</v>
      </c>
      <c r="AG148" s="32" t="str">
        <f t="shared" si="164"/>
        <v>1+0,413252017957906i</v>
      </c>
      <c r="AH148" s="32">
        <f t="shared" ref="AH148:AH211" si="183">IMABS(AG148)</f>
        <v>1.08202459784715</v>
      </c>
      <c r="AI148" s="32">
        <f t="shared" ref="AI148:AI211" si="184">IMARGUMENT(AG148)</f>
        <v>0.391878073279543</v>
      </c>
      <c r="AJ148" s="32" t="str">
        <f t="shared" si="165"/>
        <v>1+0,0196573932866464i</v>
      </c>
      <c r="AK148" s="32">
        <f t="shared" ref="AK148:AK211" si="185">IMABS(AJ148)</f>
        <v>1.00019318789463</v>
      </c>
      <c r="AL148" s="32">
        <f t="shared" ref="AL148:AL211" si="186">IMARGUMENT(AJ148)</f>
        <v>0.01965486191535</v>
      </c>
      <c r="AM148" s="32" t="str">
        <f t="shared" si="166"/>
        <v>1-0,000934423206832257i</v>
      </c>
      <c r="AN148" s="32">
        <f t="shared" ref="AN148:AN211" si="187">IMABS(AM148)</f>
        <v>1.00000043657327</v>
      </c>
      <c r="AO148" s="32">
        <f t="shared" ref="AO148:AO211" si="188">IMARGUMENT(AM148)</f>
        <v>-0.000934422934869544</v>
      </c>
      <c r="AP148" s="30" t="str">
        <f t="shared" ref="AP148:AP211" si="189">(IMDIV(IMPRODUCT(AF148,AJ148,AM148),IMPRODUCT(AG148)))</f>
        <v>203,926248353207-79,8371854101603i</v>
      </c>
      <c r="AQ148" s="32">
        <f t="shared" ref="AQ148:AQ211" si="190">20*LOG(IMABS(AP148))</f>
        <v>46.8087818686422</v>
      </c>
      <c r="AR148" s="31">
        <f t="shared" ref="AR148:AR211" si="191">(180/PI())*IMARGUMENT(AP148)</f>
        <v>-21.3803575384225</v>
      </c>
      <c r="AS148" t="str">
        <f t="shared" si="167"/>
        <v>-0,000272527472527473</v>
      </c>
      <c r="AT148" t="str">
        <f t="shared" si="168"/>
        <v>0,000281697466295244i</v>
      </c>
      <c r="AU148">
        <f t="shared" ref="AU148:AU211" si="192">IMABS(AT148)</f>
        <v>0.000281697466295244</v>
      </c>
      <c r="AV148">
        <f t="shared" ref="AV148:AV211" si="193">IMARGUMENT(AT148)</f>
        <v>1.5707963267949</v>
      </c>
      <c r="AW148" t="str">
        <f t="shared" si="169"/>
        <v>1+0,0144223935899739i</v>
      </c>
      <c r="AX148">
        <f t="shared" ref="AX148:AX211" si="194">IMABS(AW148)</f>
        <v>1.00010399731071</v>
      </c>
      <c r="AY148">
        <f t="shared" ref="AY148:AY211" si="195">IMARGUMENT(AW148)</f>
        <v>0.0144213937359962</v>
      </c>
      <c r="AZ148" t="str">
        <f t="shared" si="170"/>
        <v>1+0,689513157375987i</v>
      </c>
      <c r="BA148">
        <f t="shared" ref="BA148:BA211" si="196">IMABS(AZ148)</f>
        <v>1.21467213444394</v>
      </c>
      <c r="BB148">
        <f t="shared" ref="BB148:BB211" si="197">IMARGUMENT(AZ148)</f>
        <v>0.603653086359425</v>
      </c>
      <c r="BC148" s="30" t="str">
        <f t="shared" ref="BC148:BC211" si="198">IMPRODUCT(AS148,IMDIV(AZ148,IMPRODUCT(AT148,AW148)))</f>
        <v>-0,652978959862311+0,97686488823203i</v>
      </c>
      <c r="BD148" s="32">
        <f t="shared" ref="BD148:BD211" si="199">20*LOG(IMABS(BC148))</f>
        <v>1.40082506311206</v>
      </c>
      <c r="BE148" s="31">
        <f t="shared" ref="BE148:BE211" si="200">(180/PI())*IMARGUMENT(BC148)</f>
        <v>123.760489142672</v>
      </c>
      <c r="BF148" s="30" t="str">
        <f t="shared" ref="BF148:BF211" si="201">IMPRODUCT(AC148,BC148)</f>
        <v>25,1134660700755+52,1741066392466i</v>
      </c>
      <c r="BG148" s="68">
        <f t="shared" ref="BG148:BG211" si="202">20*LOG(IMABS(BF148))</f>
        <v>35.2541070239128</v>
      </c>
      <c r="BH148" s="31">
        <f t="shared" ref="BH148:BH211" si="203">(180/PI())*IMARGUMENT(BF148)</f>
        <v>64.2966437261015</v>
      </c>
      <c r="BI148" s="30" t="str">
        <f t="shared" si="156"/>
        <v>-55,1694063358443+251,340394092594i</v>
      </c>
      <c r="BJ148" s="68">
        <f t="shared" ref="BJ148:BJ211" si="204">20*LOG(IMABS(BI148))</f>
        <v>48.2096069317542</v>
      </c>
      <c r="BK148" s="31">
        <f t="shared" si="157"/>
        <v>102.38013160425</v>
      </c>
      <c r="BL148" s="32">
        <f t="shared" ref="BL148:BL211" si="205">IF($B$31=0,BJ148,BG148)</f>
        <v>35.2541070239128</v>
      </c>
      <c r="BM148" s="31">
        <f t="shared" ref="BM148:BM211" si="206">IF($B$31=0,BK148,BH148)</f>
        <v>64.2966437261015</v>
      </c>
      <c r="BO148">
        <f t="shared" ref="BO148:BO211" si="207">SUM((BL149&lt;0)*(BL148&gt;0))*O148</f>
        <v>0</v>
      </c>
      <c r="BP148">
        <f t="shared" ref="BP148:BP211" si="208">IF(BO148&gt;0,BM148,0)</f>
        <v>0</v>
      </c>
    </row>
    <row r="149" spans="14:68">
      <c r="N149" s="7">
        <v>31</v>
      </c>
      <c r="O149" s="18">
        <f t="shared" si="158"/>
        <v>204.173794466953</v>
      </c>
      <c r="P149" s="86" t="str">
        <f t="shared" si="159"/>
        <v>96,0576923076923</v>
      </c>
      <c r="Q149" s="4" t="str">
        <f t="shared" si="160"/>
        <v>1+1,71242312029871i</v>
      </c>
      <c r="R149" s="4">
        <f t="shared" si="171"/>
        <v>1.9830262083325</v>
      </c>
      <c r="S149" s="4">
        <f t="shared" si="172"/>
        <v>1.04224860818509</v>
      </c>
      <c r="T149" s="4" t="str">
        <f t="shared" si="161"/>
        <v>1+0,0201152727967319i</v>
      </c>
      <c r="U149" s="4">
        <f t="shared" si="173"/>
        <v>1.00020229163889</v>
      </c>
      <c r="V149" s="4">
        <f t="shared" si="174"/>
        <v>0.0201125604131468</v>
      </c>
      <c r="W149" t="str">
        <f t="shared" si="162"/>
        <v>1-0,0095501932920992i</v>
      </c>
      <c r="X149" s="4">
        <f t="shared" si="175"/>
        <v>1.00004560205618</v>
      </c>
      <c r="Y149" s="4">
        <f t="shared" si="176"/>
        <v>-0.00954990296239954</v>
      </c>
      <c r="Z149" t="str">
        <f t="shared" si="163"/>
        <v>0,999999659698462+0,0163708481583211i</v>
      </c>
      <c r="AA149" s="4">
        <f t="shared" si="177"/>
        <v>1.00013365310166</v>
      </c>
      <c r="AB149" s="4">
        <f t="shared" si="178"/>
        <v>0.016369391475066</v>
      </c>
      <c r="AC149" s="67" t="str">
        <f t="shared" si="179"/>
        <v>24,1867446974577-41,9757828779114i</v>
      </c>
      <c r="AD149" s="68">
        <f t="shared" si="180"/>
        <v>33.7050660701089</v>
      </c>
      <c r="AE149" s="31">
        <f t="shared" si="181"/>
        <v>-60.0491478047382</v>
      </c>
      <c r="AF149" s="32" t="str">
        <f t="shared" si="182"/>
        <v>236,914774604583</v>
      </c>
      <c r="AG149" s="32" t="str">
        <f t="shared" si="164"/>
        <v>1+0,422877894022204i</v>
      </c>
      <c r="AH149" s="32">
        <f t="shared" si="183"/>
        <v>1.08573740529313</v>
      </c>
      <c r="AI149" s="32">
        <f t="shared" si="184"/>
        <v>0.400071832379519</v>
      </c>
      <c r="AJ149" s="32" t="str">
        <f t="shared" si="165"/>
        <v>1+0,0201152727967319i</v>
      </c>
      <c r="AK149" s="32">
        <f t="shared" si="185"/>
        <v>1.00020229163889</v>
      </c>
      <c r="AL149" s="32">
        <f t="shared" si="186"/>
        <v>0.0201125604131468</v>
      </c>
      <c r="AM149" s="32" t="str">
        <f t="shared" si="166"/>
        <v>1-0,000956188719375955i</v>
      </c>
      <c r="AN149" s="32">
        <f t="shared" si="187"/>
        <v>1.00000045714833</v>
      </c>
      <c r="AO149" s="32">
        <f t="shared" si="188"/>
        <v>-0.000956188427962665</v>
      </c>
      <c r="AP149" s="30" t="str">
        <f t="shared" si="189"/>
        <v>202,607392370438-81,139117313124i</v>
      </c>
      <c r="AQ149" s="32">
        <f t="shared" si="190"/>
        <v>46.7791077775589</v>
      </c>
      <c r="AR149" s="31">
        <f t="shared" si="191"/>
        <v>-21.824848231878</v>
      </c>
      <c r="AS149" t="str">
        <f t="shared" si="167"/>
        <v>-0,000272527472527473</v>
      </c>
      <c r="AT149" t="str">
        <f t="shared" si="168"/>
        <v>0,000288259043203168i</v>
      </c>
      <c r="AU149">
        <f t="shared" si="192"/>
        <v>0.000288259043203168</v>
      </c>
      <c r="AV149">
        <f t="shared" si="193"/>
        <v>1.5707963267949</v>
      </c>
      <c r="AW149" t="str">
        <f t="shared" si="169"/>
        <v>1+0,0147583342925352i</v>
      </c>
      <c r="AX149">
        <f t="shared" si="194"/>
        <v>1.00010889828613</v>
      </c>
      <c r="AY149">
        <f t="shared" si="195"/>
        <v>0.0147572629359961</v>
      </c>
      <c r="AZ149" t="str">
        <f t="shared" si="170"/>
        <v>1+0,705573982028222i</v>
      </c>
      <c r="BA149">
        <f t="shared" si="196"/>
        <v>1.22386054929275</v>
      </c>
      <c r="BB149">
        <f t="shared" si="197"/>
        <v>0.614457104019172</v>
      </c>
      <c r="BC149" s="30" t="str">
        <f t="shared" si="198"/>
        <v>-0,652972560107256+0,955062365302987i</v>
      </c>
      <c r="BD149" s="32">
        <f t="shared" si="199"/>
        <v>1.26623984122119</v>
      </c>
      <c r="BE149" s="31">
        <f t="shared" si="200"/>
        <v>124.360269868732</v>
      </c>
      <c r="BF149" s="30" t="str">
        <f t="shared" si="201"/>
        <v>24,2962098750631+50,5088840080296i</v>
      </c>
      <c r="BG149" s="68">
        <f t="shared" si="202"/>
        <v>34.9713059113301</v>
      </c>
      <c r="BH149" s="31">
        <f t="shared" si="203"/>
        <v>64.311122063994</v>
      </c>
      <c r="BI149" s="30" t="str">
        <f t="shared" si="156"/>
        <v>-54,8041503931115+246,484312541974i</v>
      </c>
      <c r="BJ149" s="68">
        <f t="shared" si="204"/>
        <v>48.04534761878</v>
      </c>
      <c r="BK149" s="31">
        <f t="shared" si="157"/>
        <v>102.535421636854</v>
      </c>
      <c r="BL149" s="32">
        <f t="shared" si="205"/>
        <v>34.9713059113301</v>
      </c>
      <c r="BM149" s="31">
        <f t="shared" si="206"/>
        <v>64.311122063994</v>
      </c>
      <c r="BO149">
        <f t="shared" si="207"/>
        <v>0</v>
      </c>
      <c r="BP149">
        <f t="shared" si="208"/>
        <v>0</v>
      </c>
    </row>
    <row r="150" spans="14:68">
      <c r="N150" s="7">
        <v>32</v>
      </c>
      <c r="O150" s="18">
        <f t="shared" si="158"/>
        <v>208.929613085404</v>
      </c>
      <c r="P150" s="86" t="str">
        <f t="shared" si="159"/>
        <v>96,0576923076923</v>
      </c>
      <c r="Q150" s="4" t="str">
        <f t="shared" si="160"/>
        <v>1+1,75231057882122i</v>
      </c>
      <c r="R150" s="4">
        <f t="shared" si="171"/>
        <v>2.01757090696926</v>
      </c>
      <c r="S150" s="4">
        <f t="shared" si="172"/>
        <v>1.05221840481417</v>
      </c>
      <c r="T150" s="4" t="str">
        <f t="shared" si="161"/>
        <v>1+0,0205838176907116i</v>
      </c>
      <c r="U150" s="4">
        <f t="shared" si="173"/>
        <v>1.00021182434059</v>
      </c>
      <c r="V150" s="4">
        <f t="shared" si="174"/>
        <v>0.0205809113525789</v>
      </c>
      <c r="W150" t="str">
        <f t="shared" si="162"/>
        <v>1-0,00977264587073183i</v>
      </c>
      <c r="X150" s="4">
        <f t="shared" si="175"/>
        <v>1.00004775116357</v>
      </c>
      <c r="Y150" s="4">
        <f t="shared" si="176"/>
        <v>-0.00977233477765603</v>
      </c>
      <c r="Z150" t="str">
        <f t="shared" si="163"/>
        <v>0,999999643660545+0,0167521741981023i</v>
      </c>
      <c r="AA150" s="4">
        <f t="shared" si="177"/>
        <v>1.00013995153757</v>
      </c>
      <c r="AB150" s="4">
        <f t="shared" si="178"/>
        <v>0.0167506133456689</v>
      </c>
      <c r="AC150" s="67" t="str">
        <f t="shared" si="179"/>
        <v>23,3546332550109-41,4954141728208i</v>
      </c>
      <c r="AD150" s="68">
        <f t="shared" si="180"/>
        <v>33.5551057630041</v>
      </c>
      <c r="AE150" s="31">
        <f t="shared" si="181"/>
        <v>-60.6281273505151</v>
      </c>
      <c r="AF150" s="32" t="str">
        <f t="shared" si="182"/>
        <v>236,914774604583</v>
      </c>
      <c r="AG150" s="32" t="str">
        <f t="shared" si="164"/>
        <v>1+0,432727985543367i</v>
      </c>
      <c r="AH150" s="32">
        <f t="shared" si="183"/>
        <v>1.08961163240506</v>
      </c>
      <c r="AI150" s="32">
        <f t="shared" si="184"/>
        <v>0.408398069071819</v>
      </c>
      <c r="AJ150" s="32" t="str">
        <f t="shared" si="165"/>
        <v>1+0,0205838176907116i</v>
      </c>
      <c r="AK150" s="32">
        <f t="shared" si="185"/>
        <v>1.00021182434059</v>
      </c>
      <c r="AL150" s="32">
        <f t="shared" si="186"/>
        <v>0.0205809113525789</v>
      </c>
      <c r="AM150" s="32" t="str">
        <f t="shared" si="166"/>
        <v>1-0,000978461215835329i</v>
      </c>
      <c r="AN150" s="32">
        <f t="shared" si="187"/>
        <v>1.00000047869306</v>
      </c>
      <c r="AO150" s="32">
        <f t="shared" si="188"/>
        <v>-0.000978460903580371</v>
      </c>
      <c r="AP150" s="30" t="str">
        <f t="shared" si="189"/>
        <v>201,245545806731-82,4397810262344i</v>
      </c>
      <c r="AQ150" s="32">
        <f t="shared" si="190"/>
        <v>46.7482521311488</v>
      </c>
      <c r="AR150" s="31">
        <f t="shared" si="191"/>
        <v>-22.2763480402656</v>
      </c>
      <c r="AS150" t="str">
        <f t="shared" si="167"/>
        <v>-0,000272527472527473</v>
      </c>
      <c r="AT150" t="str">
        <f t="shared" si="168"/>
        <v>0,000294973458871357i</v>
      </c>
      <c r="AU150">
        <f t="shared" si="192"/>
        <v>0.000294973458871357</v>
      </c>
      <c r="AV150">
        <f t="shared" si="193"/>
        <v>1.5707963267949</v>
      </c>
      <c r="AW150" t="str">
        <f t="shared" si="169"/>
        <v>1+0,0151021000592881i</v>
      </c>
      <c r="AX150">
        <f t="shared" si="194"/>
        <v>1.00011403021166</v>
      </c>
      <c r="AY150">
        <f t="shared" si="195"/>
        <v>0.0151009520871427</v>
      </c>
      <c r="AZ150" t="str">
        <f t="shared" si="170"/>
        <v>1+0,722008911345111i</v>
      </c>
      <c r="BA150">
        <f t="shared" si="196"/>
        <v>1.23340863790625</v>
      </c>
      <c r="BB150">
        <f t="shared" si="197"/>
        <v>0.625344837963586</v>
      </c>
      <c r="BC150" s="30" t="str">
        <f t="shared" si="198"/>
        <v>-0,652965858875497+0,933766220178893i</v>
      </c>
      <c r="BD150" s="32">
        <f t="shared" si="199"/>
        <v>1.13369626892763</v>
      </c>
      <c r="BE150" s="31">
        <f t="shared" si="200"/>
        <v>124.964399134383</v>
      </c>
      <c r="BF150" s="30" t="str">
        <f t="shared" si="201"/>
        <v>23,4972378848321+48,9028563729462i</v>
      </c>
      <c r="BG150" s="68">
        <f t="shared" si="202"/>
        <v>34.6888020319317</v>
      </c>
      <c r="BH150" s="31">
        <f t="shared" si="203"/>
        <v>64.3362717838682</v>
      </c>
      <c r="BI150" s="30" t="str">
        <f t="shared" si="156"/>
        <v>-54,4269879413178+241,746655059093i</v>
      </c>
      <c r="BJ150" s="68">
        <f t="shared" si="204"/>
        <v>47.8819484000764</v>
      </c>
      <c r="BK150" s="31">
        <f t="shared" si="157"/>
        <v>102.688051094118</v>
      </c>
      <c r="BL150" s="32">
        <f t="shared" si="205"/>
        <v>34.6888020319317</v>
      </c>
      <c r="BM150" s="31">
        <f t="shared" si="206"/>
        <v>64.3362717838682</v>
      </c>
      <c r="BO150">
        <f t="shared" si="207"/>
        <v>0</v>
      </c>
      <c r="BP150">
        <f t="shared" si="208"/>
        <v>0</v>
      </c>
    </row>
    <row r="151" spans="14:68">
      <c r="N151" s="7">
        <v>33</v>
      </c>
      <c r="O151" s="18">
        <f t="shared" si="158"/>
        <v>213.796208950223</v>
      </c>
      <c r="P151" s="86" t="str">
        <f t="shared" si="159"/>
        <v>96,0576923076923</v>
      </c>
      <c r="Q151" s="4" t="str">
        <f t="shared" si="160"/>
        <v>1+1,79312713560718i</v>
      </c>
      <c r="R151" s="4">
        <f t="shared" si="171"/>
        <v>2.05312077687865</v>
      </c>
      <c r="S151" s="4">
        <f t="shared" si="172"/>
        <v>1.06207212189963</v>
      </c>
      <c r="T151" s="4" t="str">
        <f t="shared" si="161"/>
        <v>1+0,0210632763972897i</v>
      </c>
      <c r="U151" s="4">
        <f t="shared" si="173"/>
        <v>1.0002218062073</v>
      </c>
      <c r="V151" s="4">
        <f t="shared" si="174"/>
        <v>0.0210601622371701</v>
      </c>
      <c r="W151" t="str">
        <f t="shared" si="162"/>
        <v>1-0,0100002800355613i</v>
      </c>
      <c r="X151" s="4">
        <f t="shared" si="175"/>
        <v>1.00005000155032</v>
      </c>
      <c r="Y151" s="4">
        <f t="shared" si="176"/>
        <v>-0.009999946694225</v>
      </c>
      <c r="Z151" t="str">
        <f t="shared" si="163"/>
        <v>0,999999626866784+0,0171423824623845i</v>
      </c>
      <c r="AA151" s="4">
        <f t="shared" si="177"/>
        <v>1.00014654676712</v>
      </c>
      <c r="AB151" s="4">
        <f t="shared" si="178"/>
        <v>0.0171407099921047</v>
      </c>
      <c r="AC151" s="67" t="str">
        <f t="shared" si="179"/>
        <v>22,5417848345831-41,0044338951895i</v>
      </c>
      <c r="AD151" s="68">
        <f t="shared" si="180"/>
        <v>33.4034408918856</v>
      </c>
      <c r="AE151" s="31">
        <f t="shared" si="181"/>
        <v>-61.2006367926422</v>
      </c>
      <c r="AF151" s="32" t="str">
        <f t="shared" si="182"/>
        <v>236,914774604583</v>
      </c>
      <c r="AG151" s="32" t="str">
        <f t="shared" si="164"/>
        <v>1+0,442807515170294i</v>
      </c>
      <c r="AH151" s="32">
        <f t="shared" si="183"/>
        <v>1.09365373655984</v>
      </c>
      <c r="AI151" s="32">
        <f t="shared" si="184"/>
        <v>0.416856579173979</v>
      </c>
      <c r="AJ151" s="32" t="str">
        <f t="shared" si="165"/>
        <v>1+0,0210632763972897i</v>
      </c>
      <c r="AK151" s="32">
        <f t="shared" si="185"/>
        <v>1.0002218062073</v>
      </c>
      <c r="AL151" s="32">
        <f t="shared" si="186"/>
        <v>0.0210601622371701</v>
      </c>
      <c r="AM151" s="32" t="str">
        <f t="shared" si="166"/>
        <v>1-0,0010012525053828i</v>
      </c>
      <c r="AN151" s="32">
        <f t="shared" si="187"/>
        <v>1.00000050125316</v>
      </c>
      <c r="AO151" s="32">
        <f t="shared" si="188"/>
        <v>-0.00100125217079559</v>
      </c>
      <c r="AP151" s="30" t="str">
        <f t="shared" si="189"/>
        <v>199,840087076661-83,7377025213684i</v>
      </c>
      <c r="AQ151" s="32">
        <f t="shared" si="190"/>
        <v>46.7161768078845</v>
      </c>
      <c r="AR151" s="31">
        <f t="shared" si="191"/>
        <v>-22.7348317604943</v>
      </c>
      <c r="AS151" t="str">
        <f t="shared" si="167"/>
        <v>-0,000272527472527473</v>
      </c>
      <c r="AT151" t="str">
        <f t="shared" si="168"/>
        <v>0,000301844273371874i</v>
      </c>
      <c r="AU151">
        <f t="shared" si="192"/>
        <v>0.000301844273371874</v>
      </c>
      <c r="AV151">
        <f t="shared" si="193"/>
        <v>1.5707963267949</v>
      </c>
      <c r="AW151" t="str">
        <f t="shared" si="169"/>
        <v>1+0,0154538731593922i</v>
      </c>
      <c r="AX151">
        <f t="shared" si="194"/>
        <v>1.00011940396916</v>
      </c>
      <c r="AY151">
        <f t="shared" si="195"/>
        <v>0.0154526430930081</v>
      </c>
      <c r="AZ151" t="str">
        <f t="shared" si="170"/>
        <v>1+0,738826659343706i</v>
      </c>
      <c r="BA151">
        <f t="shared" si="196"/>
        <v>1.24332812746957</v>
      </c>
      <c r="BB151">
        <f t="shared" si="197"/>
        <v>0.636311735907456</v>
      </c>
      <c r="BC151" s="30" t="str">
        <f t="shared" si="198"/>
        <v>-0,652958841971828+0,912965160725275i</v>
      </c>
      <c r="BD151" s="32">
        <f t="shared" si="199"/>
        <v>1.00322506046805</v>
      </c>
      <c r="BE151" s="31">
        <f t="shared" si="200"/>
        <v>125.572605690589</v>
      </c>
      <c r="BF151" s="30" t="str">
        <f t="shared" si="201"/>
        <v>22,7167618600031+47,354071886453i</v>
      </c>
      <c r="BG151" s="68">
        <f t="shared" si="202"/>
        <v>34.4066659523536</v>
      </c>
      <c r="BH151" s="31">
        <f t="shared" si="203"/>
        <v>64.3719688979468</v>
      </c>
      <c r="BI151" s="30" t="str">
        <f t="shared" si="156"/>
        <v>-54,0377467959395+237,124310485031i</v>
      </c>
      <c r="BJ151" s="68">
        <f t="shared" si="204"/>
        <v>47.7194018683526</v>
      </c>
      <c r="BK151" s="31">
        <f t="shared" si="157"/>
        <v>102.837773930095</v>
      </c>
      <c r="BL151" s="32">
        <f t="shared" si="205"/>
        <v>34.4066659523536</v>
      </c>
      <c r="BM151" s="31">
        <f t="shared" si="206"/>
        <v>64.3719688979468</v>
      </c>
      <c r="BO151">
        <f t="shared" si="207"/>
        <v>0</v>
      </c>
      <c r="BP151">
        <f t="shared" si="208"/>
        <v>0</v>
      </c>
    </row>
    <row r="152" spans="14:68">
      <c r="N152" s="7">
        <v>34</v>
      </c>
      <c r="O152" s="18">
        <f t="shared" si="158"/>
        <v>218.776162394955</v>
      </c>
      <c r="P152" s="86" t="str">
        <f t="shared" si="159"/>
        <v>96,0576923076923</v>
      </c>
      <c r="Q152" s="4" t="str">
        <f t="shared" si="160"/>
        <v>1+1,83489443213529i</v>
      </c>
      <c r="R152" s="4">
        <f t="shared" si="171"/>
        <v>2.08969796312316</v>
      </c>
      <c r="S152" s="4">
        <f t="shared" si="172"/>
        <v>1.07180732930106</v>
      </c>
      <c r="T152" s="4" t="str">
        <f t="shared" si="161"/>
        <v>1+0,0215539031318192i</v>
      </c>
      <c r="U152" s="4">
        <f t="shared" si="173"/>
        <v>1.00023225839813</v>
      </c>
      <c r="V152" s="4">
        <f t="shared" si="174"/>
        <v>0.0215505662909782</v>
      </c>
      <c r="W152" t="str">
        <f t="shared" si="162"/>
        <v>1-0,010233216481235i</v>
      </c>
      <c r="X152" s="4">
        <f t="shared" si="175"/>
        <v>1.0000523579891</v>
      </c>
      <c r="Y152" s="4">
        <f t="shared" si="176"/>
        <v>-0.0102328593005679</v>
      </c>
      <c r="Z152" t="str">
        <f t="shared" si="163"/>
        <v>0,999999609281557+0,0175416798447546i</v>
      </c>
      <c r="AA152" s="4">
        <f t="shared" si="177"/>
        <v>1.00015345277364</v>
      </c>
      <c r="AB152" s="4">
        <f t="shared" si="178"/>
        <v>0.0175398877754122</v>
      </c>
      <c r="AC152" s="67" t="str">
        <f t="shared" si="179"/>
        <v>21,7483700036048-40,5037258880255i</v>
      </c>
      <c r="AD152" s="68">
        <f t="shared" si="180"/>
        <v>33.2501117193468</v>
      </c>
      <c r="AE152" s="31">
        <f t="shared" si="181"/>
        <v>-61.7665411184873</v>
      </c>
      <c r="AF152" s="32" t="str">
        <f t="shared" si="182"/>
        <v>236,914774604583</v>
      </c>
      <c r="AG152" s="32" t="str">
        <f t="shared" si="164"/>
        <v>1+0,453121827203016i</v>
      </c>
      <c r="AH152" s="32">
        <f t="shared" si="183"/>
        <v>1.09787038865606</v>
      </c>
      <c r="AI152" s="32">
        <f t="shared" si="184"/>
        <v>0.425447005044349</v>
      </c>
      <c r="AJ152" s="32" t="str">
        <f t="shared" si="165"/>
        <v>1+0,0215539031318192i</v>
      </c>
      <c r="AK152" s="32">
        <f t="shared" si="185"/>
        <v>1.00023225839813</v>
      </c>
      <c r="AL152" s="32">
        <f t="shared" si="186"/>
        <v>0.0215505662909782</v>
      </c>
      <c r="AM152" s="32" t="str">
        <f t="shared" si="166"/>
        <v>1-0,00102457467226176i</v>
      </c>
      <c r="AN152" s="32">
        <f t="shared" si="187"/>
        <v>1.00000052487649</v>
      </c>
      <c r="AO152" s="32">
        <f t="shared" si="188"/>
        <v>-0.00102457431374512</v>
      </c>
      <c r="AP152" s="30" t="str">
        <f t="shared" si="189"/>
        <v>198,390449572518-85,0313417851476i</v>
      </c>
      <c r="AQ152" s="32">
        <f t="shared" si="190"/>
        <v>46.682843168723</v>
      </c>
      <c r="AR152" s="31">
        <f t="shared" si="191"/>
        <v>-23.2002650849074</v>
      </c>
      <c r="AS152" t="str">
        <f t="shared" si="167"/>
        <v>-0,000272527472527473</v>
      </c>
      <c r="AT152" t="str">
        <f t="shared" si="168"/>
        <v>0,000308875129701515i</v>
      </c>
      <c r="AU152">
        <f t="shared" si="192"/>
        <v>0.000308875129701515</v>
      </c>
      <c r="AV152">
        <f t="shared" si="193"/>
        <v>1.5707963267949</v>
      </c>
      <c r="AW152" t="str">
        <f t="shared" si="169"/>
        <v>1+0,0158138401076017i</v>
      </c>
      <c r="AX152">
        <f t="shared" si="194"/>
        <v>1.0001250309531</v>
      </c>
      <c r="AY152">
        <f t="shared" si="195"/>
        <v>0.0158125220766235</v>
      </c>
      <c r="AZ152" t="str">
        <f t="shared" si="170"/>
        <v>1+0,756036143016615i</v>
      </c>
      <c r="BA152">
        <f t="shared" si="196"/>
        <v>1.25363098619468</v>
      </c>
      <c r="BB152">
        <f t="shared" si="197"/>
        <v>0.6473530607696</v>
      </c>
      <c r="BC152" s="30" t="str">
        <f t="shared" si="198"/>
        <v>-0,652951494533315+0,892648157263155i</v>
      </c>
      <c r="BD152" s="32">
        <f t="shared" si="199"/>
        <v>0.874855379751248</v>
      </c>
      <c r="BE152" s="31">
        <f t="shared" si="200"/>
        <v>126.184607458526</v>
      </c>
      <c r="BF152" s="30" t="str">
        <f t="shared" si="201"/>
        <v>21,9549455787206+45,8606107599491i</v>
      </c>
      <c r="BG152" s="68">
        <f t="shared" si="202"/>
        <v>34.1249670990981</v>
      </c>
      <c r="BH152" s="31">
        <f t="shared" si="203"/>
        <v>64.4180663400387</v>
      </c>
      <c r="BI152" s="30" t="str">
        <f t="shared" si="156"/>
        <v>-53,6362699953864+232,614210930302i</v>
      </c>
      <c r="BJ152" s="68">
        <f t="shared" si="204"/>
        <v>47.5576985484742</v>
      </c>
      <c r="BK152" s="31">
        <f t="shared" si="157"/>
        <v>102.984342373619</v>
      </c>
      <c r="BL152" s="32">
        <f t="shared" si="205"/>
        <v>34.1249670990981</v>
      </c>
      <c r="BM152" s="31">
        <f t="shared" si="206"/>
        <v>64.4180663400387</v>
      </c>
      <c r="BO152">
        <f t="shared" si="207"/>
        <v>0</v>
      </c>
      <c r="BP152">
        <f t="shared" si="208"/>
        <v>0</v>
      </c>
    </row>
    <row r="153" spans="14:68">
      <c r="N153" s="7">
        <v>35</v>
      </c>
      <c r="O153" s="18">
        <f t="shared" si="158"/>
        <v>223.872113856834</v>
      </c>
      <c r="P153" s="86" t="str">
        <f t="shared" si="159"/>
        <v>96,0576923076923</v>
      </c>
      <c r="Q153" s="4" t="str">
        <f t="shared" si="160"/>
        <v>1+1,87763461397901i</v>
      </c>
      <c r="R153" s="4">
        <f t="shared" si="171"/>
        <v>2.12732502068022</v>
      </c>
      <c r="S153" s="4">
        <f t="shared" si="172"/>
        <v>1.08142180683602</v>
      </c>
      <c r="T153" s="4" t="str">
        <f t="shared" si="161"/>
        <v>1+0,0220559580310887i</v>
      </c>
      <c r="U153" s="4">
        <f t="shared" si="173"/>
        <v>1.00024320306847</v>
      </c>
      <c r="V153" s="4">
        <f t="shared" si="174"/>
        <v>0.0220523825886605</v>
      </c>
      <c r="W153" t="str">
        <f t="shared" si="162"/>
        <v>1-0,0104715787137397i</v>
      </c>
      <c r="X153" s="4">
        <f t="shared" si="175"/>
        <v>1.00005482547746</v>
      </c>
      <c r="Y153" s="4">
        <f t="shared" si="176"/>
        <v>-0.0104711959888926</v>
      </c>
      <c r="Z153" t="str">
        <f t="shared" si="163"/>
        <v>0,999999590867564+0,0179502780579698i</v>
      </c>
      <c r="AA153" s="4">
        <f t="shared" si="177"/>
        <v>1.00016068419912</v>
      </c>
      <c r="AB153" s="4">
        <f t="shared" si="178"/>
        <v>0.0179483578377345</v>
      </c>
      <c r="AC153" s="67" t="str">
        <f t="shared" si="179"/>
        <v>20,9745110674888-39,9941636307456i</v>
      </c>
      <c r="AD153" s="68">
        <f t="shared" si="180"/>
        <v>33.0951588164398</v>
      </c>
      <c r="AE153" s="31">
        <f t="shared" si="181"/>
        <v>-62.3257174444884</v>
      </c>
      <c r="AF153" s="32" t="str">
        <f t="shared" si="182"/>
        <v>236,914774604583</v>
      </c>
      <c r="AG153" s="32" t="str">
        <f t="shared" si="164"/>
        <v>1+0,463676390426295i</v>
      </c>
      <c r="AH153" s="32">
        <f t="shared" si="183"/>
        <v>1.10226847684163</v>
      </c>
      <c r="AI153" s="32">
        <f t="shared" si="184"/>
        <v>0.434168828926629</v>
      </c>
      <c r="AJ153" s="32" t="str">
        <f t="shared" si="165"/>
        <v>1+0,0220559580310887i</v>
      </c>
      <c r="AK153" s="32">
        <f t="shared" si="185"/>
        <v>1.00024320306847</v>
      </c>
      <c r="AL153" s="32">
        <f t="shared" si="186"/>
        <v>0.0220523825886605</v>
      </c>
      <c r="AM153" s="32" t="str">
        <f t="shared" si="166"/>
        <v>1-0,00104844008219381i</v>
      </c>
      <c r="AN153" s="32">
        <f t="shared" si="187"/>
        <v>1.00000054961315</v>
      </c>
      <c r="AO153" s="32">
        <f t="shared" si="188"/>
        <v>-0.00104843969803632</v>
      </c>
      <c r="AP153" s="30" t="str">
        <f t="shared" si="189"/>
        <v>196,896127114107-86,3190941293217i</v>
      </c>
      <c r="AQ153" s="32">
        <f t="shared" si="190"/>
        <v>46.6482121085152</v>
      </c>
      <c r="AR153" s="31">
        <f t="shared" si="191"/>
        <v>-23.6726042128667</v>
      </c>
      <c r="AS153" t="str">
        <f t="shared" si="167"/>
        <v>-0,000272527472527473</v>
      </c>
      <c r="AT153" t="str">
        <f t="shared" si="168"/>
        <v>0,00031606975571337i</v>
      </c>
      <c r="AU153">
        <f t="shared" si="192"/>
        <v>0.00031606975571337</v>
      </c>
      <c r="AV153">
        <f t="shared" si="193"/>
        <v>1.5707963267949</v>
      </c>
      <c r="AW153" t="str">
        <f t="shared" si="169"/>
        <v>1+0,016182191763157i</v>
      </c>
      <c r="AX153">
        <f t="shared" si="194"/>
        <v>1.0001309230947</v>
      </c>
      <c r="AY153">
        <f t="shared" si="195"/>
        <v>0.0161807794775039</v>
      </c>
      <c r="AZ153" t="str">
        <f t="shared" si="170"/>
        <v>1+0,773646487059869i</v>
      </c>
      <c r="BA153">
        <f t="shared" si="196"/>
        <v>1.26432942184388</v>
      </c>
      <c r="BB153">
        <f t="shared" si="197"/>
        <v>0.658463898726759</v>
      </c>
      <c r="BC153" s="30" t="str">
        <f t="shared" si="198"/>
        <v>-0,652943800997917+0,87280443671773i</v>
      </c>
      <c r="BD153" s="32">
        <f t="shared" si="199"/>
        <v>0.748614733378293</v>
      </c>
      <c r="BE153" s="31">
        <f t="shared" si="200"/>
        <v>126.80011198548</v>
      </c>
      <c r="BF153" s="30" t="str">
        <f t="shared" si="201"/>
        <v>21,2119064792506+44,420587536481i</v>
      </c>
      <c r="BG153" s="68">
        <f t="shared" si="202"/>
        <v>33.8437735498181</v>
      </c>
      <c r="BH153" s="31">
        <f t="shared" si="203"/>
        <v>64.4743945409916</v>
      </c>
      <c r="BI153" s="30" t="str">
        <f t="shared" si="156"/>
        <v>-53,2224173101267+228,213330737227i</v>
      </c>
      <c r="BJ153" s="68">
        <f t="shared" si="204"/>
        <v>47.3968268418935</v>
      </c>
      <c r="BK153" s="31">
        <f t="shared" si="157"/>
        <v>103.127507772613</v>
      </c>
      <c r="BL153" s="32">
        <f t="shared" si="205"/>
        <v>33.8437735498181</v>
      </c>
      <c r="BM153" s="31">
        <f t="shared" si="206"/>
        <v>64.4743945409916</v>
      </c>
      <c r="BO153">
        <f t="shared" si="207"/>
        <v>0</v>
      </c>
      <c r="BP153">
        <f t="shared" si="208"/>
        <v>0</v>
      </c>
    </row>
    <row r="154" spans="14:68">
      <c r="N154" s="7">
        <v>36</v>
      </c>
      <c r="O154" s="18">
        <f t="shared" si="158"/>
        <v>229.086765276777</v>
      </c>
      <c r="P154" s="86" t="str">
        <f t="shared" si="159"/>
        <v>96,0576923076923</v>
      </c>
      <c r="Q154" s="4" t="str">
        <f t="shared" si="160"/>
        <v>1+1,9213703425485i</v>
      </c>
      <c r="R154" s="4">
        <f t="shared" si="171"/>
        <v>2.16602492904051</v>
      </c>
      <c r="S154" s="4">
        <f t="shared" si="172"/>
        <v>1.09091354147225</v>
      </c>
      <c r="T154" s="4" t="str">
        <f t="shared" si="161"/>
        <v>1+0,0225697072912514i</v>
      </c>
      <c r="U154" s="4">
        <f t="shared" si="173"/>
        <v>1.00025466341688</v>
      </c>
      <c r="V154" s="4">
        <f t="shared" si="174"/>
        <v>0.0225658761883434</v>
      </c>
      <c r="W154" t="str">
        <f t="shared" si="162"/>
        <v>1-0,0107154931158861i</v>
      </c>
      <c r="X154" s="4">
        <f t="shared" si="175"/>
        <v>1.00005740924845</v>
      </c>
      <c r="Y154" s="4">
        <f t="shared" si="176"/>
        <v>-0.0107150830200954</v>
      </c>
      <c r="Z154" t="str">
        <f t="shared" si="163"/>
        <v>0,999999571585747+0,0183683937462115i</v>
      </c>
      <c r="AA154" s="4">
        <f t="shared" si="177"/>
        <v>1.00016825637514</v>
      </c>
      <c r="AB154" s="4">
        <f t="shared" si="178"/>
        <v>0.0183663362118531</v>
      </c>
      <c r="AC154" s="67" t="str">
        <f t="shared" si="179"/>
        <v>20,2202839491701-39,4766075018858i</v>
      </c>
      <c r="AD154" s="68">
        <f t="shared" si="180"/>
        <v>32.9386229646783</v>
      </c>
      <c r="AE154" s="31">
        <f t="shared" si="181"/>
        <v>-62.8780548576643</v>
      </c>
      <c r="AF154" s="32" t="str">
        <f t="shared" si="182"/>
        <v>236,914774604583</v>
      </c>
      <c r="AG154" s="32" t="str">
        <f t="shared" si="164"/>
        <v>1+0,474476801009262i</v>
      </c>
      <c r="AH154" s="32">
        <f t="shared" si="183"/>
        <v>1.10685511007357</v>
      </c>
      <c r="AI154" s="32">
        <f t="shared" si="184"/>
        <v>0.443021366449873</v>
      </c>
      <c r="AJ154" s="32" t="str">
        <f t="shared" si="165"/>
        <v>1+0,0225697072912514i</v>
      </c>
      <c r="AK154" s="32">
        <f t="shared" si="185"/>
        <v>1.00025466341688</v>
      </c>
      <c r="AL154" s="32">
        <f t="shared" si="186"/>
        <v>0.0225658761883434</v>
      </c>
      <c r="AM154" s="32" t="str">
        <f t="shared" si="166"/>
        <v>1-0,00107286138893518i</v>
      </c>
      <c r="AN154" s="32">
        <f t="shared" si="187"/>
        <v>1.00000057551561</v>
      </c>
      <c r="AO154" s="32">
        <f t="shared" si="188"/>
        <v>-0.00107286097730302</v>
      </c>
      <c r="AP154" s="30" t="str">
        <f t="shared" si="189"/>
        <v>195,356679489136-87,5992919381402i</v>
      </c>
      <c r="AQ154" s="32">
        <f t="shared" si="190"/>
        <v>46.6122441122957</v>
      </c>
      <c r="AR154" s="31">
        <f t="shared" si="191"/>
        <v>-24.1517954710932</v>
      </c>
      <c r="AS154" t="str">
        <f t="shared" si="167"/>
        <v>-0,000272527472527473</v>
      </c>
      <c r="AT154" t="str">
        <f t="shared" si="168"/>
        <v>0,00032343196609338i</v>
      </c>
      <c r="AU154">
        <f t="shared" si="192"/>
        <v>0.00032343196609338</v>
      </c>
      <c r="AV154">
        <f t="shared" si="193"/>
        <v>1.5707963267949</v>
      </c>
      <c r="AW154" t="str">
        <f t="shared" si="169"/>
        <v>1+0,0165591234309819i</v>
      </c>
      <c r="AX154">
        <f t="shared" si="194"/>
        <v>1.00013709288717</v>
      </c>
      <c r="AY154">
        <f t="shared" si="195"/>
        <v>0.0165576101508431</v>
      </c>
      <c r="AZ154" t="str">
        <f t="shared" si="170"/>
        <v>1+0,791667028710986i</v>
      </c>
      <c r="BA154">
        <f t="shared" si="196"/>
        <v>1.27543588013984</v>
      </c>
      <c r="BB154">
        <f t="shared" si="197"/>
        <v>0.669639168235326</v>
      </c>
      <c r="BC154" s="30" t="str">
        <f t="shared" si="198"/>
        <v>-0,652935745071687+0,853423476902852i</v>
      </c>
      <c r="BD154" s="32">
        <f t="shared" si="199"/>
        <v>0.624528867518178</v>
      </c>
      <c r="BE154" s="31">
        <f t="shared" si="200"/>
        <v>127.418816956069</v>
      </c>
      <c r="BF154" s="30" t="str">
        <f t="shared" si="201"/>
        <v>20,4877174646761+43,03215316401i</v>
      </c>
      <c r="BG154" s="68">
        <f t="shared" si="202"/>
        <v>33.5631518321964</v>
      </c>
      <c r="BH154" s="31">
        <f t="shared" si="203"/>
        <v>64.5407620984045</v>
      </c>
      <c r="BI154" s="30" t="str">
        <f t="shared" si="156"/>
        <v>-52,7960667768942+223,918685595196i</v>
      </c>
      <c r="BJ154" s="68">
        <f t="shared" si="204"/>
        <v>47.2367729798139</v>
      </c>
      <c r="BK154" s="31">
        <f t="shared" si="157"/>
        <v>103.267021484976</v>
      </c>
      <c r="BL154" s="32">
        <f t="shared" si="205"/>
        <v>33.5631518321964</v>
      </c>
      <c r="BM154" s="31">
        <f t="shared" si="206"/>
        <v>64.5407620984045</v>
      </c>
      <c r="BO154">
        <f t="shared" si="207"/>
        <v>0</v>
      </c>
      <c r="BP154">
        <f t="shared" si="208"/>
        <v>0</v>
      </c>
    </row>
    <row r="155" spans="14:68">
      <c r="N155" s="7">
        <v>37</v>
      </c>
      <c r="O155" s="18">
        <f t="shared" si="158"/>
        <v>234.422881531992</v>
      </c>
      <c r="P155" s="86" t="str">
        <f t="shared" si="159"/>
        <v>96,0576923076923</v>
      </c>
      <c r="Q155" s="4" t="str">
        <f t="shared" si="160"/>
        <v>1+1,96612480710595i</v>
      </c>
      <c r="R155" s="4">
        <f t="shared" si="171"/>
        <v>2.20582110723363</v>
      </c>
      <c r="S155" s="4">
        <f t="shared" si="172"/>
        <v>1.10028072389304</v>
      </c>
      <c r="T155" s="4" t="str">
        <f t="shared" si="161"/>
        <v>1+0,0230954233089655i</v>
      </c>
      <c r="U155" s="4">
        <f t="shared" si="173"/>
        <v>1.00026666373414</v>
      </c>
      <c r="V155" s="4">
        <f t="shared" si="174"/>
        <v>0.0230913182673437</v>
      </c>
      <c r="W155" t="str">
        <f t="shared" si="162"/>
        <v>1-0,0109650890143189i</v>
      </c>
      <c r="X155" s="4">
        <f t="shared" si="175"/>
        <v>1.00006011478165</v>
      </c>
      <c r="Y155" s="4">
        <f t="shared" si="176"/>
        <v>-0.0109646495901887</v>
      </c>
      <c r="Z155" t="str">
        <f t="shared" si="163"/>
        <v>0,999999551395205+0,0187962485999519i</v>
      </c>
      <c r="AA155" s="4">
        <f t="shared" si="177"/>
        <v>1.00017618535538</v>
      </c>
      <c r="AB155" s="4">
        <f t="shared" si="178"/>
        <v>0.0187940439331403</v>
      </c>
      <c r="AC155" s="67" t="str">
        <f t="shared" si="179"/>
        <v>19,4857202120529-38,9519022693445i</v>
      </c>
      <c r="AD155" s="68">
        <f t="shared" si="180"/>
        <v>32.7805450621059</v>
      </c>
      <c r="AE155" s="31">
        <f t="shared" si="181"/>
        <v>-63.4234542212681</v>
      </c>
      <c r="AF155" s="32" t="str">
        <f t="shared" si="182"/>
        <v>236,914774604583</v>
      </c>
      <c r="AG155" s="32" t="str">
        <f t="shared" si="164"/>
        <v>1+0,485528785472569i</v>
      </c>
      <c r="AH155" s="32">
        <f t="shared" si="183"/>
        <v>1.11163762149473</v>
      </c>
      <c r="AI155" s="32">
        <f t="shared" si="184"/>
        <v>0.452003760329669</v>
      </c>
      <c r="AJ155" s="32" t="str">
        <f t="shared" si="165"/>
        <v>1+0,0230954233089655i</v>
      </c>
      <c r="AK155" s="32">
        <f t="shared" si="185"/>
        <v>1.00026666373414</v>
      </c>
      <c r="AL155" s="32">
        <f t="shared" si="186"/>
        <v>0.0230913182673437</v>
      </c>
      <c r="AM155" s="32" t="str">
        <f t="shared" si="166"/>
        <v>1-0,00109785154098597i</v>
      </c>
      <c r="AN155" s="32">
        <f t="shared" si="187"/>
        <v>1.00000060263882</v>
      </c>
      <c r="AO155" s="32">
        <f t="shared" si="188"/>
        <v>-0.00109785109991418</v>
      </c>
      <c r="AP155" s="30" t="str">
        <f t="shared" si="189"/>
        <v>193,77173805078-88,8702068774451i</v>
      </c>
      <c r="AQ155" s="32">
        <f t="shared" si="190"/>
        <v>46.5748993165196</v>
      </c>
      <c r="AR155" s="31">
        <f t="shared" si="191"/>
        <v>-24.6377749453796</v>
      </c>
      <c r="AS155" t="str">
        <f t="shared" si="167"/>
        <v>-0,000272527472527473</v>
      </c>
      <c r="AT155" t="str">
        <f t="shared" si="168"/>
        <v>0,000330965664382943i</v>
      </c>
      <c r="AU155">
        <f t="shared" si="192"/>
        <v>0.000330965664382943</v>
      </c>
      <c r="AV155">
        <f t="shared" si="193"/>
        <v>1.5707963267949</v>
      </c>
      <c r="AW155" t="str">
        <f t="shared" si="169"/>
        <v>1+0,0169448349652359i</v>
      </c>
      <c r="AX155">
        <f t="shared" si="194"/>
        <v>1.00014355341221</v>
      </c>
      <c r="AY155">
        <f t="shared" si="195"/>
        <v>0.0169432134689226</v>
      </c>
      <c r="AZ155" t="str">
        <f t="shared" si="170"/>
        <v>1+0,81010732269968i</v>
      </c>
      <c r="BA155">
        <f t="shared" si="196"/>
        <v>1.28696304309473</v>
      </c>
      <c r="BB155">
        <f t="shared" si="197"/>
        <v>0.680873629994435</v>
      </c>
      <c r="BC155" s="30" t="str">
        <f t="shared" si="198"/>
        <v>-0,652927309694404+0,834495000938283i</v>
      </c>
      <c r="BD155" s="32">
        <f t="shared" si="199"/>
        <v>0.50262166941051</v>
      </c>
      <c r="BE155" s="31">
        <f t="shared" si="200"/>
        <v>128.040410757275</v>
      </c>
      <c r="BF155" s="30" t="str">
        <f t="shared" si="201"/>
        <v>19,782408845291+41,6934968628427i</v>
      </c>
      <c r="BG155" s="68">
        <f t="shared" si="202"/>
        <v>33.2831667315164</v>
      </c>
      <c r="BH155" s="31">
        <f t="shared" si="203"/>
        <v>64.6169565360066</v>
      </c>
      <c r="BI155" s="30" t="str">
        <f t="shared" si="156"/>
        <v>-52,3571162487256+219,727331814974i</v>
      </c>
      <c r="BJ155" s="68">
        <f t="shared" si="204"/>
        <v>47.0775209859301</v>
      </c>
      <c r="BK155" s="31">
        <f t="shared" si="157"/>
        <v>103.402635811895</v>
      </c>
      <c r="BL155" s="32">
        <f t="shared" si="205"/>
        <v>33.2831667315164</v>
      </c>
      <c r="BM155" s="31">
        <f t="shared" si="206"/>
        <v>64.6169565360066</v>
      </c>
      <c r="BO155">
        <f t="shared" si="207"/>
        <v>0</v>
      </c>
      <c r="BP155">
        <f t="shared" si="208"/>
        <v>0</v>
      </c>
    </row>
    <row r="156" spans="14:68">
      <c r="N156" s="7">
        <v>38</v>
      </c>
      <c r="O156" s="18">
        <f t="shared" si="158"/>
        <v>239.883291901949</v>
      </c>
      <c r="P156" s="86" t="str">
        <f t="shared" si="159"/>
        <v>96,0576923076923</v>
      </c>
      <c r="Q156" s="4" t="str">
        <f t="shared" si="160"/>
        <v>1+2,01192173706088i</v>
      </c>
      <c r="R156" s="4">
        <f t="shared" si="171"/>
        <v>2.2467374292645</v>
      </c>
      <c r="S156" s="4">
        <f t="shared" si="172"/>
        <v>1.10952174449052</v>
      </c>
      <c r="T156" s="4" t="str">
        <f t="shared" si="161"/>
        <v>1+0,023633384825822i</v>
      </c>
      <c r="U156" s="4">
        <f t="shared" si="173"/>
        <v>1.00027922945462</v>
      </c>
      <c r="V156" s="4">
        <f t="shared" si="174"/>
        <v>0.0236289862607894</v>
      </c>
      <c r="W156" t="str">
        <f t="shared" si="162"/>
        <v>1-0,0112204987480873i</v>
      </c>
      <c r="X156" s="4">
        <f t="shared" si="175"/>
        <v>1.00006294781486</v>
      </c>
      <c r="Y156" s="4">
        <f t="shared" si="176"/>
        <v>-0.0112200278982493</v>
      </c>
      <c r="Z156" t="str">
        <f t="shared" si="163"/>
        <v>0,999999530253112+0,0192340694734978i</v>
      </c>
      <c r="AA156" s="4">
        <f t="shared" si="177"/>
        <v>1.00018448794958</v>
      </c>
      <c r="AB156" s="4">
        <f t="shared" si="178"/>
        <v>0.0192317071539809</v>
      </c>
      <c r="AC156" s="67" t="str">
        <f t="shared" si="179"/>
        <v>18,7708092014294-38,4208748117504i</v>
      </c>
      <c r="AD156" s="68">
        <f t="shared" si="180"/>
        <v>32.6209660337002</v>
      </c>
      <c r="AE156" s="31">
        <f t="shared" si="181"/>
        <v>-63.9618279477265</v>
      </c>
      <c r="AF156" s="32" t="str">
        <f t="shared" si="182"/>
        <v>236,914774604583</v>
      </c>
      <c r="AG156" s="32" t="str">
        <f t="shared" si="164"/>
        <v>1+0,496838203724667i</v>
      </c>
      <c r="AH156" s="32">
        <f t="shared" si="183"/>
        <v>1.11662357161236</v>
      </c>
      <c r="AI156" s="32">
        <f t="shared" si="184"/>
        <v>0.461114974318718</v>
      </c>
      <c r="AJ156" s="32" t="str">
        <f t="shared" si="165"/>
        <v>1+0,023633384825822i</v>
      </c>
      <c r="AK156" s="32">
        <f t="shared" si="185"/>
        <v>1.00027922945462</v>
      </c>
      <c r="AL156" s="32">
        <f t="shared" si="186"/>
        <v>0.0236289862607894</v>
      </c>
      <c r="AM156" s="32" t="str">
        <f t="shared" si="166"/>
        <v>1-0,00112342378845557i</v>
      </c>
      <c r="AN156" s="32">
        <f t="shared" si="187"/>
        <v>1.00000063104031</v>
      </c>
      <c r="AO156" s="32">
        <f t="shared" si="188"/>
        <v>-0.00112342331583865</v>
      </c>
      <c r="AP156" s="30" t="str">
        <f t="shared" si="189"/>
        <v>192,141011335067-90,1300525880301i</v>
      </c>
      <c r="AQ156" s="32">
        <f t="shared" si="190"/>
        <v>46.5361375752795</v>
      </c>
      <c r="AR156" s="31">
        <f t="shared" si="191"/>
        <v>-25.1304681264342</v>
      </c>
      <c r="AS156" t="str">
        <f t="shared" si="167"/>
        <v>-0,000272527472527473</v>
      </c>
      <c r="AT156" t="str">
        <f t="shared" si="168"/>
        <v>0,00033867484504861i</v>
      </c>
      <c r="AU156">
        <f t="shared" si="192"/>
        <v>0.00033867484504861</v>
      </c>
      <c r="AV156">
        <f t="shared" si="193"/>
        <v>1.5707963267949</v>
      </c>
      <c r="AW156" t="str">
        <f t="shared" si="169"/>
        <v>1+0,0173395308752798i</v>
      </c>
      <c r="AX156">
        <f t="shared" si="194"/>
        <v>1.00015031836768</v>
      </c>
      <c r="AY156">
        <f t="shared" si="195"/>
        <v>0.01733779342478</v>
      </c>
      <c r="AZ156" t="str">
        <f t="shared" si="170"/>
        <v>1+0,828977146313909i</v>
      </c>
      <c r="BA156">
        <f t="shared" si="196"/>
        <v>1.29892382729348</v>
      </c>
      <c r="BB156">
        <f t="shared" si="197"/>
        <v>0.692161897814753</v>
      </c>
      <c r="BC156" s="30" t="str">
        <f t="shared" si="198"/>
        <v>-0,652918477003644+0,8160089717968i</v>
      </c>
      <c r="BD156" s="32">
        <f t="shared" si="199"/>
        <v>0.382915074254565</v>
      </c>
      <c r="BE156" s="31">
        <f t="shared" si="200"/>
        <v>128.664573095241</v>
      </c>
      <c r="BF156" s="30" t="str">
        <f t="shared" si="201"/>
        <v>19,0959703947467+40,4028477834881i</v>
      </c>
      <c r="BG156" s="68">
        <f t="shared" si="202"/>
        <v>33.0038811079548</v>
      </c>
      <c r="BH156" s="31">
        <f t="shared" si="203"/>
        <v>64.7027451475147</v>
      </c>
      <c r="BI156" s="30" t="str">
        <f t="shared" si="156"/>
        <v>-51,9054849504819+215,63636576756i</v>
      </c>
      <c r="BJ156" s="68">
        <f t="shared" si="204"/>
        <v>46.919052649534</v>
      </c>
      <c r="BK156" s="31">
        <f t="shared" si="157"/>
        <v>103.534104968807</v>
      </c>
      <c r="BL156" s="32">
        <f t="shared" si="205"/>
        <v>33.0038811079548</v>
      </c>
      <c r="BM156" s="31">
        <f t="shared" si="206"/>
        <v>64.7027451475147</v>
      </c>
      <c r="BO156">
        <f t="shared" si="207"/>
        <v>0</v>
      </c>
      <c r="BP156">
        <f t="shared" si="208"/>
        <v>0</v>
      </c>
    </row>
    <row r="157" spans="14:68">
      <c r="N157" s="7">
        <v>39</v>
      </c>
      <c r="O157" s="18">
        <f t="shared" si="158"/>
        <v>245.470891568503</v>
      </c>
      <c r="P157" s="86" t="str">
        <f t="shared" si="159"/>
        <v>96,0576923076923</v>
      </c>
      <c r="Q157" s="4" t="str">
        <f t="shared" si="160"/>
        <v>1+2,05878541455171i</v>
      </c>
      <c r="R157" s="4">
        <f t="shared" si="171"/>
        <v>2.28879823994402</v>
      </c>
      <c r="S157" s="4">
        <f t="shared" si="172"/>
        <v>1.11863518884231</v>
      </c>
      <c r="T157" s="4" t="str">
        <f t="shared" si="161"/>
        <v>1+0,0241838770761379i</v>
      </c>
      <c r="U157" s="4">
        <f t="shared" si="173"/>
        <v>1.00029238721008</v>
      </c>
      <c r="V157" s="4">
        <f t="shared" si="174"/>
        <v>0.0241791640031929</v>
      </c>
      <c r="W157" t="str">
        <f t="shared" si="162"/>
        <v>1-0,0114818577388127i</v>
      </c>
      <c r="X157" s="4">
        <f t="shared" si="175"/>
        <v>1.00006591435622</v>
      </c>
      <c r="Y157" s="4">
        <f t="shared" si="176"/>
        <v>-0.0114813532159173</v>
      </c>
      <c r="Z157" t="str">
        <f t="shared" si="163"/>
        <v>0,999999508114624+0,0196820885052714i</v>
      </c>
      <c r="AA157" s="4">
        <f t="shared" si="177"/>
        <v>1.00019318175911</v>
      </c>
      <c r="AB157" s="4">
        <f t="shared" si="178"/>
        <v>0.0196795572607081</v>
      </c>
      <c r="AC157" s="67" t="str">
        <f t="shared" si="179"/>
        <v>18,075500280196-37,8843320719779i</v>
      </c>
      <c r="AD157" s="68">
        <f t="shared" si="180"/>
        <v>32.4599267463345</v>
      </c>
      <c r="AE157" s="31">
        <f t="shared" si="181"/>
        <v>-64.4930997420421</v>
      </c>
      <c r="AF157" s="32" t="str">
        <f t="shared" si="182"/>
        <v>236,914774604583</v>
      </c>
      <c r="AG157" s="32" t="str">
        <f t="shared" si="164"/>
        <v>1+0,508411052168808i</v>
      </c>
      <c r="AH157" s="32">
        <f t="shared" si="183"/>
        <v>1.12182075126439</v>
      </c>
      <c r="AI157" s="32">
        <f t="shared" si="184"/>
        <v>0.470353787457126</v>
      </c>
      <c r="AJ157" s="32" t="str">
        <f t="shared" si="165"/>
        <v>1+0,0241838770761379i</v>
      </c>
      <c r="AK157" s="32">
        <f t="shared" si="185"/>
        <v>1.00029238721008</v>
      </c>
      <c r="AL157" s="32">
        <f t="shared" si="186"/>
        <v>0.0241791640031929</v>
      </c>
      <c r="AM157" s="32" t="str">
        <f t="shared" si="166"/>
        <v>1-0,00114959169008808i</v>
      </c>
      <c r="AN157" s="32">
        <f t="shared" si="187"/>
        <v>1.00000066078031</v>
      </c>
      <c r="AO157" s="32">
        <f t="shared" si="188"/>
        <v>-0.00114959118366995</v>
      </c>
      <c r="AP157" s="30" t="str">
        <f t="shared" si="189"/>
        <v>190,464290656966-91,37698788308i</v>
      </c>
      <c r="AQ157" s="32">
        <f t="shared" si="190"/>
        <v>46.4959185315067</v>
      </c>
      <c r="AR157" s="31">
        <f t="shared" si="191"/>
        <v>-25.6297895727388</v>
      </c>
      <c r="AS157" t="str">
        <f t="shared" si="167"/>
        <v>-0,000272527472527473</v>
      </c>
      <c r="AT157" t="str">
        <f t="shared" si="168"/>
        <v>0,000346563595600013i</v>
      </c>
      <c r="AU157">
        <f t="shared" si="192"/>
        <v>0.000346563595600013</v>
      </c>
      <c r="AV157">
        <f t="shared" si="193"/>
        <v>1.5707963267949</v>
      </c>
      <c r="AW157" t="str">
        <f t="shared" si="169"/>
        <v>1+0,0177434204341096i</v>
      </c>
      <c r="AX157">
        <f t="shared" si="194"/>
        <v>1.00015740209664</v>
      </c>
      <c r="AY157">
        <f t="shared" si="195"/>
        <v>0.0177415587381809</v>
      </c>
      <c r="AZ157" t="str">
        <f t="shared" si="170"/>
        <v>1+0,848286504583919i</v>
      </c>
      <c r="BA157">
        <f t="shared" si="196"/>
        <v>1.31133138216822</v>
      </c>
      <c r="BB157">
        <f t="shared" si="197"/>
        <v>0.703498450348004</v>
      </c>
      <c r="BC157" s="30" t="str">
        <f t="shared" si="198"/>
        <v>-0,652909228297119+0,797955586978117i</v>
      </c>
      <c r="BD157" s="32">
        <f t="shared" si="199"/>
        <v>0.265428978219025</v>
      </c>
      <c r="BE157" s="31">
        <f t="shared" si="200"/>
        <v>129.290975661253</v>
      </c>
      <c r="BF157" s="30" t="str">
        <f t="shared" si="201"/>
        <v>18,4283534967419+39,1584764536738i</v>
      </c>
      <c r="BG157" s="68">
        <f t="shared" si="202"/>
        <v>32.7253557245535</v>
      </c>
      <c r="BH157" s="31">
        <f t="shared" si="203"/>
        <v>64.7978759192111</v>
      </c>
      <c r="BI157" s="30" t="str">
        <f t="shared" si="156"/>
        <v>-51,4411150284624+211,642923492407i</v>
      </c>
      <c r="BJ157" s="68">
        <f t="shared" si="204"/>
        <v>46.7613475097258</v>
      </c>
      <c r="BK157" s="31">
        <f t="shared" si="157"/>
        <v>103.661186088514</v>
      </c>
      <c r="BL157" s="32">
        <f t="shared" si="205"/>
        <v>32.7253557245535</v>
      </c>
      <c r="BM157" s="31">
        <f t="shared" si="206"/>
        <v>64.7978759192111</v>
      </c>
      <c r="BO157">
        <f t="shared" si="207"/>
        <v>0</v>
      </c>
      <c r="BP157">
        <f t="shared" si="208"/>
        <v>0</v>
      </c>
    </row>
    <row r="158" spans="14:68">
      <c r="N158" s="7">
        <v>40</v>
      </c>
      <c r="O158" s="18">
        <f t="shared" si="158"/>
        <v>251.188643150958</v>
      </c>
      <c r="P158" s="86" t="str">
        <f t="shared" si="159"/>
        <v>96,0576923076923</v>
      </c>
      <c r="Q158" s="4" t="str">
        <f t="shared" si="160"/>
        <v>1+2,1067406873206i</v>
      </c>
      <c r="R158" s="4">
        <f t="shared" si="171"/>
        <v>2.3320283710993</v>
      </c>
      <c r="S158" s="4">
        <f t="shared" si="172"/>
        <v>1.12761983272689</v>
      </c>
      <c r="T158" s="4" t="str">
        <f t="shared" si="161"/>
        <v>1+0,0247471919381912i</v>
      </c>
      <c r="U158" s="4">
        <f t="shared" si="173"/>
        <v>1.00030616488594</v>
      </c>
      <c r="V158" s="4">
        <f t="shared" si="174"/>
        <v>0.0247421418730217</v>
      </c>
      <c r="W158" t="str">
        <f t="shared" si="162"/>
        <v>1-0,0117493045624916i</v>
      </c>
      <c r="X158" s="4">
        <f t="shared" si="175"/>
        <v>1.00006902069692</v>
      </c>
      <c r="Y158" s="4">
        <f t="shared" si="176"/>
        <v>-0.0117487639584844</v>
      </c>
      <c r="Z158" t="str">
        <f t="shared" si="163"/>
        <v>0,99999948493278+0,0201405432408939i</v>
      </c>
      <c r="AA158" s="4">
        <f t="shared" si="177"/>
        <v>1.00020228521428</v>
      </c>
      <c r="AB158" s="4">
        <f t="shared" si="178"/>
        <v>0.0201378309931033</v>
      </c>
      <c r="AC158" s="67" t="str">
        <f t="shared" si="179"/>
        <v>17,3997051356921-37,3430592414674i</v>
      </c>
      <c r="AD158" s="68">
        <f t="shared" si="180"/>
        <v>32.2974679284681</v>
      </c>
      <c r="AE158" s="31">
        <f t="shared" si="181"/>
        <v>-65.0172043188295</v>
      </c>
      <c r="AF158" s="32" t="str">
        <f t="shared" si="182"/>
        <v>236,914774604583</v>
      </c>
      <c r="AG158" s="32" t="str">
        <f t="shared" si="164"/>
        <v>1+0,520253466882428i</v>
      </c>
      <c r="AH158" s="32">
        <f t="shared" si="183"/>
        <v>1.1272371843597</v>
      </c>
      <c r="AI158" s="32">
        <f t="shared" si="184"/>
        <v>0.479718788674624</v>
      </c>
      <c r="AJ158" s="32" t="str">
        <f t="shared" si="165"/>
        <v>1+0,0247471919381912i</v>
      </c>
      <c r="AK158" s="32">
        <f t="shared" si="185"/>
        <v>1.00030616488594</v>
      </c>
      <c r="AL158" s="32">
        <f t="shared" si="186"/>
        <v>0.0247421418730217</v>
      </c>
      <c r="AM158" s="32" t="str">
        <f t="shared" si="166"/>
        <v>1-0,00117636912045133i</v>
      </c>
      <c r="AN158" s="32">
        <f t="shared" si="187"/>
        <v>1.00000069192191</v>
      </c>
      <c r="AO158" s="32">
        <f t="shared" si="188"/>
        <v>-0.00117636857781454</v>
      </c>
      <c r="AP158" s="30" t="str">
        <f t="shared" si="189"/>
        <v>188,741455640323-92,6091204662045i</v>
      </c>
      <c r="AQ158" s="32">
        <f t="shared" si="190"/>
        <v>46.4542016931159</v>
      </c>
      <c r="AR158" s="31">
        <f t="shared" si="191"/>
        <v>-26.1356425934067</v>
      </c>
      <c r="AS158" t="str">
        <f t="shared" si="167"/>
        <v>-0,000272527472527473</v>
      </c>
      <c r="AT158" t="str">
        <f t="shared" si="168"/>
        <v>0,000354636098757114i</v>
      </c>
      <c r="AU158">
        <f t="shared" si="192"/>
        <v>0.000354636098757114</v>
      </c>
      <c r="AV158">
        <f t="shared" si="193"/>
        <v>1.5707963267949</v>
      </c>
      <c r="AW158" t="str">
        <f t="shared" si="169"/>
        <v>1+0,0181567177893155i</v>
      </c>
      <c r="AX158">
        <f t="shared" si="194"/>
        <v>1.00016481961769</v>
      </c>
      <c r="AY158">
        <f t="shared" si="195"/>
        <v>0.0181547229639416</v>
      </c>
      <c r="AZ158" t="str">
        <f t="shared" si="170"/>
        <v>1+0,868045635587063i</v>
      </c>
      <c r="BA158">
        <f t="shared" si="196"/>
        <v>1.32419908830272</v>
      </c>
      <c r="BB158">
        <f t="shared" si="197"/>
        <v>0.71487764362323</v>
      </c>
      <c r="BC158" s="30" t="str">
        <f t="shared" si="198"/>
        <v>-0,652899543993318+0,780325273306905i</v>
      </c>
      <c r="BD158" s="32">
        <f t="shared" si="199"/>
        <v>0.150181158276966</v>
      </c>
      <c r="BE158" s="31">
        <f t="shared" si="200"/>
        <v>129.919282843805</v>
      </c>
      <c r="BF158" s="30" t="str">
        <f t="shared" si="201"/>
        <v>17,7794733600024+37,958696015538i</v>
      </c>
      <c r="BG158" s="68">
        <f t="shared" si="202"/>
        <v>32.447649086745</v>
      </c>
      <c r="BH158" s="31">
        <f t="shared" si="203"/>
        <v>64.902078524976</v>
      </c>
      <c r="BI158" s="30" t="str">
        <f t="shared" si="156"/>
        <v>-50,9639730816988+207,744180478885i</v>
      </c>
      <c r="BJ158" s="68">
        <f t="shared" si="204"/>
        <v>46.6043828513929</v>
      </c>
      <c r="BK158" s="31">
        <f t="shared" si="157"/>
        <v>103.783640250399</v>
      </c>
      <c r="BL158" s="32">
        <f t="shared" si="205"/>
        <v>32.447649086745</v>
      </c>
      <c r="BM158" s="31">
        <f t="shared" si="206"/>
        <v>64.902078524976</v>
      </c>
      <c r="BO158">
        <f t="shared" si="207"/>
        <v>0</v>
      </c>
      <c r="BP158">
        <f t="shared" si="208"/>
        <v>0</v>
      </c>
    </row>
    <row r="159" spans="14:68">
      <c r="N159" s="7">
        <v>41</v>
      </c>
      <c r="O159" s="18">
        <f t="shared" si="158"/>
        <v>257.039578276887</v>
      </c>
      <c r="P159" s="86" t="str">
        <f t="shared" si="159"/>
        <v>96,0576923076923</v>
      </c>
      <c r="Q159" s="4" t="str">
        <f t="shared" si="160"/>
        <v>1+2,15581298188791i</v>
      </c>
      <c r="R159" s="4">
        <f t="shared" si="171"/>
        <v>2.37645315814902</v>
      </c>
      <c r="S159" s="4">
        <f t="shared" si="172"/>
        <v>1.13647463673236</v>
      </c>
      <c r="T159" s="4" t="str">
        <f t="shared" si="161"/>
        <v>1+0,0253236280889778i</v>
      </c>
      <c r="U159" s="4">
        <f t="shared" si="173"/>
        <v>1.00032059168028</v>
      </c>
      <c r="V159" s="4">
        <f t="shared" si="174"/>
        <v>0.0253182169403162</v>
      </c>
      <c r="W159" t="str">
        <f t="shared" si="162"/>
        <v>1-0,0120229810229699i</v>
      </c>
      <c r="X159" s="4">
        <f t="shared" si="175"/>
        <v>1.00007227342462</v>
      </c>
      <c r="Y159" s="4">
        <f t="shared" si="176"/>
        <v>-0.0120224017576006</v>
      </c>
      <c r="Z159" t="str">
        <f t="shared" si="163"/>
        <v>0,99999946065841+0,0206096767591342i</v>
      </c>
      <c r="AA159" s="4">
        <f t="shared" si="177"/>
        <v>1.00021181761326</v>
      </c>
      <c r="AB159" s="4">
        <f t="shared" si="178"/>
        <v>0.0206067705665052</v>
      </c>
      <c r="AC159" s="67" t="str">
        <f t="shared" si="179"/>
        <v>16,7433001356885-36,7978181718826i</v>
      </c>
      <c r="AD159" s="68">
        <f t="shared" si="180"/>
        <v>32.1336300946923</v>
      </c>
      <c r="AE159" s="31">
        <f t="shared" si="181"/>
        <v>-65.5340870961273</v>
      </c>
      <c r="AF159" s="32" t="str">
        <f t="shared" si="182"/>
        <v>236,914774604583</v>
      </c>
      <c r="AG159" s="32" t="str">
        <f t="shared" si="164"/>
        <v>1+0,532371726870555i</v>
      </c>
      <c r="AH159" s="32">
        <f t="shared" si="183"/>
        <v>1.13288113038003</v>
      </c>
      <c r="AI159" s="32">
        <f t="shared" si="184"/>
        <v>0.489208371798352</v>
      </c>
      <c r="AJ159" s="32" t="str">
        <f t="shared" si="165"/>
        <v>1+0,0253236280889778i</v>
      </c>
      <c r="AK159" s="32">
        <f t="shared" si="185"/>
        <v>1.00032059168028</v>
      </c>
      <c r="AL159" s="32">
        <f t="shared" si="186"/>
        <v>0.0253182169403162</v>
      </c>
      <c r="AM159" s="32" t="str">
        <f t="shared" si="166"/>
        <v>1-0,00120377027729332i</v>
      </c>
      <c r="AN159" s="32">
        <f t="shared" si="187"/>
        <v>1.00000072453118</v>
      </c>
      <c r="AO159" s="32">
        <f t="shared" si="188"/>
        <v>-0.00120376969584755</v>
      </c>
      <c r="AP159" s="30" t="str">
        <f t="shared" si="189"/>
        <v>186,972479633353-93,8245111827282i</v>
      </c>
      <c r="AQ159" s="32">
        <f t="shared" si="190"/>
        <v>46.4109465140167</v>
      </c>
      <c r="AR159" s="31">
        <f t="shared" si="191"/>
        <v>-26.6479189541135</v>
      </c>
      <c r="AS159" t="str">
        <f t="shared" si="167"/>
        <v>-0,000272527472527473</v>
      </c>
      <c r="AT159" t="str">
        <f t="shared" si="168"/>
        <v>0,000362896634667941i</v>
      </c>
      <c r="AU159">
        <f t="shared" si="192"/>
        <v>0.000362896634667941</v>
      </c>
      <c r="AV159">
        <f t="shared" si="193"/>
        <v>1.5707963267949</v>
      </c>
      <c r="AW159" t="str">
        <f t="shared" si="169"/>
        <v>1+0,0185796420766258i</v>
      </c>
      <c r="AX159">
        <f t="shared" si="194"/>
        <v>1.00017258665677</v>
      </c>
      <c r="AY159">
        <f t="shared" si="195"/>
        <v>0.0185775046026472</v>
      </c>
      <c r="AZ159" t="str">
        <f t="shared" si="170"/>
        <v>1+0,888265015876132i</v>
      </c>
      <c r="BA159">
        <f t="shared" si="196"/>
        <v>1.33754055580735</v>
      </c>
      <c r="BB159">
        <f t="shared" si="197"/>
        <v>0.726293724327006</v>
      </c>
      <c r="BC159" s="30" t="str">
        <f t="shared" si="198"/>
        <v>-0,65288940359024+0,763108681852039i</v>
      </c>
      <c r="BD159" s="32">
        <f t="shared" si="199"/>
        <v>0.0371871995260381</v>
      </c>
      <c r="BE159" s="31">
        <f t="shared" si="200"/>
        <v>130.549152483159</v>
      </c>
      <c r="BF159" s="30" t="str">
        <f t="shared" si="201"/>
        <v>17,1492112804543+36,8018632560608i</v>
      </c>
      <c r="BG159" s="68">
        <f t="shared" si="202"/>
        <v>32.1708172942184</v>
      </c>
      <c r="BH159" s="31">
        <f t="shared" si="203"/>
        <v>65.0150653870317</v>
      </c>
      <c r="BI159" s="30" t="str">
        <f t="shared" si="156"/>
        <v>-50,4740516615445+203,937351623852i</v>
      </c>
      <c r="BJ159" s="68">
        <f t="shared" si="204"/>
        <v>46.4481337135427</v>
      </c>
      <c r="BK159" s="31">
        <f t="shared" si="157"/>
        <v>103.901233529045</v>
      </c>
      <c r="BL159" s="32">
        <f t="shared" si="205"/>
        <v>32.1708172942184</v>
      </c>
      <c r="BM159" s="31">
        <f t="shared" si="206"/>
        <v>65.0150653870317</v>
      </c>
      <c r="BO159">
        <f t="shared" si="207"/>
        <v>0</v>
      </c>
      <c r="BP159">
        <f t="shared" si="208"/>
        <v>0</v>
      </c>
    </row>
    <row r="160" spans="14:68">
      <c r="N160" s="7">
        <v>42</v>
      </c>
      <c r="O160" s="18">
        <f t="shared" si="158"/>
        <v>263.026799189538</v>
      </c>
      <c r="P160" s="86" t="str">
        <f t="shared" si="159"/>
        <v>96,0576923076923</v>
      </c>
      <c r="Q160" s="4" t="str">
        <f t="shared" si="160"/>
        <v>1+2,20602831703377i</v>
      </c>
      <c r="R160" s="4">
        <f t="shared" si="171"/>
        <v>2.4220984570316</v>
      </c>
      <c r="S160" s="4">
        <f t="shared" si="172"/>
        <v>1.14519874051244</v>
      </c>
      <c r="T160" s="4" t="str">
        <f t="shared" si="161"/>
        <v>1+0,025913491162575i</v>
      </c>
      <c r="U160" s="4">
        <f t="shared" si="173"/>
        <v>1.00033569816549</v>
      </c>
      <c r="V160" s="4">
        <f t="shared" si="174"/>
        <v>0.0259076931174046</v>
      </c>
      <c r="W160" t="str">
        <f t="shared" si="162"/>
        <v>1-0,0123030322271296i</v>
      </c>
      <c r="X160" s="4">
        <f t="shared" si="175"/>
        <v>1.0000756794373</v>
      </c>
      <c r="Y160" s="4">
        <f t="shared" si="176"/>
        <v>-0.0123024115356403</v>
      </c>
      <c r="Z160" t="str">
        <f t="shared" si="163"/>
        <v>0,999999435240024+0,0210897378007935i</v>
      </c>
      <c r="AA160" s="4">
        <f t="shared" si="177"/>
        <v>1.000221799163</v>
      </c>
      <c r="AB160" s="4">
        <f t="shared" si="178"/>
        <v>0.0210866237965807</v>
      </c>
      <c r="AC160" s="67" t="str">
        <f t="shared" si="179"/>
        <v>16,1061287129062-36,2493460087348i</v>
      </c>
      <c r="AD160" s="68">
        <f t="shared" si="180"/>
        <v>31.9684534752112</v>
      </c>
      <c r="AE160" s="31">
        <f t="shared" si="181"/>
        <v>-66.0437038690623</v>
      </c>
      <c r="AF160" s="32" t="str">
        <f t="shared" si="182"/>
        <v>236,914774604583</v>
      </c>
      <c r="AG160" s="32" t="str">
        <f t="shared" si="164"/>
        <v>1+0,544772257395042i</v>
      </c>
      <c r="AH160" s="32">
        <f t="shared" si="183"/>
        <v>1.138761086632</v>
      </c>
      <c r="AI160" s="32">
        <f t="shared" si="184"/>
        <v>0.498820731021035</v>
      </c>
      <c r="AJ160" s="32" t="str">
        <f t="shared" si="165"/>
        <v>1+0,025913491162575i</v>
      </c>
      <c r="AK160" s="32">
        <f t="shared" si="185"/>
        <v>1.00033569816549</v>
      </c>
      <c r="AL160" s="32">
        <f t="shared" si="186"/>
        <v>0.0259076931174046</v>
      </c>
      <c r="AM160" s="32" t="str">
        <f t="shared" si="166"/>
        <v>1-0,00123180968907011i</v>
      </c>
      <c r="AN160" s="32">
        <f t="shared" si="187"/>
        <v>1.00000075867727</v>
      </c>
      <c r="AO160" s="32">
        <f t="shared" si="188"/>
        <v>-0.00123180906603977</v>
      </c>
      <c r="AP160" s="30" t="str">
        <f t="shared" si="189"/>
        <v>185,157434958149-95,0211788124691i</v>
      </c>
      <c r="AQ160" s="32">
        <f t="shared" si="190"/>
        <v>46.3661124798684</v>
      </c>
      <c r="AR160" s="31">
        <f t="shared" si="191"/>
        <v>-27.1664986092384</v>
      </c>
      <c r="AS160" t="str">
        <f t="shared" si="167"/>
        <v>-0,000272527472527473</v>
      </c>
      <c r="AT160" t="str">
        <f t="shared" si="168"/>
        <v>0,000371349583177972i</v>
      </c>
      <c r="AU160">
        <f t="shared" si="192"/>
        <v>0.000371349583177972</v>
      </c>
      <c r="AV160">
        <f t="shared" si="193"/>
        <v>1.5707963267949</v>
      </c>
      <c r="AW160" t="str">
        <f t="shared" si="169"/>
        <v>1+0,0190124175360958i</v>
      </c>
      <c r="AX160">
        <f t="shared" si="194"/>
        <v>1.00018071968048</v>
      </c>
      <c r="AY160">
        <f t="shared" si="195"/>
        <v>0.0190101272138135</v>
      </c>
      <c r="AZ160" t="str">
        <f t="shared" si="170"/>
        <v>1+0,908955366034198i</v>
      </c>
      <c r="BA160">
        <f t="shared" si="196"/>
        <v>1.35136962280583</v>
      </c>
      <c r="BB160">
        <f t="shared" si="197"/>
        <v>0.737740843756762</v>
      </c>
      <c r="BC160" s="30" t="str">
        <f t="shared" si="198"/>
        <v>-0,652878785622297+0,746296682964428i</v>
      </c>
      <c r="BD160" s="32">
        <f t="shared" si="199"/>
        <v>-0.0735395693947445</v>
      </c>
      <c r="BE160" s="31">
        <f t="shared" si="200"/>
        <v>131.180236664325</v>
      </c>
      <c r="BF160" s="30" t="str">
        <f t="shared" si="201"/>
        <v>16,53741693079+35,6863794356253i</v>
      </c>
      <c r="BG160" s="68">
        <f t="shared" si="202"/>
        <v>31.8949139058165</v>
      </c>
      <c r="BH160" s="31">
        <f t="shared" si="203"/>
        <v>65.1365327952623</v>
      </c>
      <c r="BI160" s="30" t="str">
        <f t="shared" si="156"/>
        <v>-49,9713707253003+200,219691366952i</v>
      </c>
      <c r="BJ160" s="68">
        <f t="shared" si="204"/>
        <v>46.2925729104737</v>
      </c>
      <c r="BK160" s="31">
        <f t="shared" si="157"/>
        <v>104.013738055086</v>
      </c>
      <c r="BL160" s="32">
        <f t="shared" si="205"/>
        <v>31.8949139058165</v>
      </c>
      <c r="BM160" s="31">
        <f t="shared" si="206"/>
        <v>65.1365327952623</v>
      </c>
      <c r="BO160">
        <f t="shared" si="207"/>
        <v>0</v>
      </c>
      <c r="BP160">
        <f t="shared" si="208"/>
        <v>0</v>
      </c>
    </row>
    <row r="161" spans="14:68">
      <c r="N161" s="7">
        <v>43</v>
      </c>
      <c r="O161" s="18">
        <f t="shared" si="158"/>
        <v>269.153480392692</v>
      </c>
      <c r="P161" s="86" t="str">
        <f t="shared" si="159"/>
        <v>96,0576923076923</v>
      </c>
      <c r="Q161" s="4" t="str">
        <f t="shared" si="160"/>
        <v>1+2,25741331759357i</v>
      </c>
      <c r="R161" s="4">
        <f t="shared" si="171"/>
        <v>2.4689906614746</v>
      </c>
      <c r="S161" s="4">
        <f t="shared" si="172"/>
        <v>1.15379145674179</v>
      </c>
      <c r="T161" s="4" t="str">
        <f t="shared" si="161"/>
        <v>1+0,0265170939121923i</v>
      </c>
      <c r="U161" s="4">
        <f t="shared" si="173"/>
        <v>1.0003515163529</v>
      </c>
      <c r="V161" s="4">
        <f t="shared" si="174"/>
        <v>0.0265108813127605</v>
      </c>
      <c r="W161" t="str">
        <f t="shared" si="162"/>
        <v>1-0,012589606661826i</v>
      </c>
      <c r="X161" s="4">
        <f t="shared" si="175"/>
        <v>1.00007924595799</v>
      </c>
      <c r="Y161" s="4">
        <f t="shared" si="176"/>
        <v>-0.0125889415817589</v>
      </c>
      <c r="Z161" t="str">
        <f t="shared" si="163"/>
        <v>0,999999408623706+0,0215809809005905i</v>
      </c>
      <c r="AA161" s="4">
        <f t="shared" si="177"/>
        <v>1.00023225102193</v>
      </c>
      <c r="AB161" s="4">
        <f t="shared" si="178"/>
        <v>0.0215776442268032</v>
      </c>
      <c r="AC161" s="67" t="str">
        <f t="shared" si="179"/>
        <v>15,4880037589339-35,6983540399662i</v>
      </c>
      <c r="AD161" s="68">
        <f t="shared" si="180"/>
        <v>31.8019779502974</v>
      </c>
      <c r="AE161" s="31">
        <f t="shared" si="181"/>
        <v>-66.5460204663645</v>
      </c>
      <c r="AF161" s="32" t="str">
        <f t="shared" si="182"/>
        <v>236,914774604583</v>
      </c>
      <c r="AG161" s="32" t="str">
        <f t="shared" si="164"/>
        <v>1+0,557461633381315i</v>
      </c>
      <c r="AH161" s="32">
        <f t="shared" si="183"/>
        <v>1.14488579023943</v>
      </c>
      <c r="AI161" s="32">
        <f t="shared" si="184"/>
        <v>0.508553856884816</v>
      </c>
      <c r="AJ161" s="32" t="str">
        <f t="shared" si="165"/>
        <v>1+0,0265170939121923i</v>
      </c>
      <c r="AK161" s="32">
        <f t="shared" si="185"/>
        <v>1.0003515163529</v>
      </c>
      <c r="AL161" s="32">
        <f t="shared" si="186"/>
        <v>0.0265108813127605</v>
      </c>
      <c r="AM161" s="32" t="str">
        <f t="shared" si="166"/>
        <v>1-0,00126050222264898i</v>
      </c>
      <c r="AN161" s="32">
        <f t="shared" si="187"/>
        <v>1.00000079443261</v>
      </c>
      <c r="AO161" s="32">
        <f t="shared" si="188"/>
        <v>-0.00126050155505997</v>
      </c>
      <c r="AP161" s="30" t="str">
        <f t="shared" si="189"/>
        <v>183,296497939891-96,1971054072381i</v>
      </c>
      <c r="AQ161" s="32">
        <f t="shared" si="190"/>
        <v>46.3196591984094</v>
      </c>
      <c r="AR161" s="31">
        <f t="shared" si="191"/>
        <v>-27.6912494633812</v>
      </c>
      <c r="AS161" t="str">
        <f t="shared" si="167"/>
        <v>-0,000272527472527473</v>
      </c>
      <c r="AT161" t="str">
        <f t="shared" si="168"/>
        <v>0,000379999426152399i</v>
      </c>
      <c r="AU161">
        <f t="shared" si="192"/>
        <v>0.000379999426152399</v>
      </c>
      <c r="AV161">
        <f t="shared" si="193"/>
        <v>1.5707963267949</v>
      </c>
      <c r="AW161" t="str">
        <f t="shared" si="169"/>
        <v>1+0,0194552736310026i</v>
      </c>
      <c r="AX161">
        <f t="shared" si="194"/>
        <v>1.00018923593091</v>
      </c>
      <c r="AY161">
        <f t="shared" si="195"/>
        <v>0.0194528195315387</v>
      </c>
      <c r="AZ161" t="str">
        <f t="shared" si="170"/>
        <v>1+0,930127656358785i</v>
      </c>
      <c r="BA161">
        <f t="shared" si="196"/>
        <v>1.36570035407606</v>
      </c>
      <c r="BB161">
        <f t="shared" si="197"/>
        <v>0.749213072368599</v>
      </c>
      <c r="BC161" s="30" t="str">
        <f t="shared" si="198"/>
        <v>-0,652867667615091+0,729880361430697i</v>
      </c>
      <c r="BD161" s="32">
        <f t="shared" si="199"/>
        <v>-0.181988132242867</v>
      </c>
      <c r="BE161" s="31">
        <f t="shared" si="200"/>
        <v>131.812182543964</v>
      </c>
      <c r="BF161" s="30" t="str">
        <f t="shared" si="201"/>
        <v>15,9439106590626+34,6106909211812i</v>
      </c>
      <c r="BG161" s="68">
        <f t="shared" si="202"/>
        <v>31.6199898180546</v>
      </c>
      <c r="BH161" s="31">
        <f t="shared" si="203"/>
        <v>65.266162077599</v>
      </c>
      <c r="BI161" s="30" t="str">
        <f t="shared" si="156"/>
        <v>-49,4559790288092+196,588494003895i</v>
      </c>
      <c r="BJ161" s="68">
        <f t="shared" si="204"/>
        <v>46.1376710661665</v>
      </c>
      <c r="BK161" s="31">
        <f t="shared" si="157"/>
        <v>104.120933080582</v>
      </c>
      <c r="BL161" s="32">
        <f t="shared" si="205"/>
        <v>31.6199898180546</v>
      </c>
      <c r="BM161" s="31">
        <f t="shared" si="206"/>
        <v>65.266162077599</v>
      </c>
      <c r="BO161">
        <f t="shared" si="207"/>
        <v>0</v>
      </c>
      <c r="BP161">
        <f t="shared" si="208"/>
        <v>0</v>
      </c>
    </row>
    <row r="162" spans="14:68">
      <c r="N162" s="7">
        <v>44</v>
      </c>
      <c r="O162" s="18">
        <f t="shared" si="158"/>
        <v>275.422870333817</v>
      </c>
      <c r="P162" s="86" t="str">
        <f t="shared" si="159"/>
        <v>96,0576923076923</v>
      </c>
      <c r="Q162" s="4" t="str">
        <f t="shared" si="160"/>
        <v>1+2,30999522857475i</v>
      </c>
      <c r="R162" s="4">
        <f t="shared" si="171"/>
        <v>2.51715672059531</v>
      </c>
      <c r="S162" s="4">
        <f t="shared" si="172"/>
        <v>1.16225226482115</v>
      </c>
      <c r="T162" s="4" t="str">
        <f t="shared" si="161"/>
        <v>1+0,0271347563759971i</v>
      </c>
      <c r="U162" s="4">
        <f t="shared" si="173"/>
        <v>1.00036807976044</v>
      </c>
      <c r="V162" s="4">
        <f t="shared" si="174"/>
        <v>0.0271280995880512</v>
      </c>
      <c r="W162" t="str">
        <f t="shared" si="162"/>
        <v>1-0,0128828562726177i</v>
      </c>
      <c r="X162" s="4">
        <f t="shared" si="175"/>
        <v>1.00008298054998</v>
      </c>
      <c r="Y162" s="4">
        <f t="shared" si="176"/>
        <v>-0.0128821436296799</v>
      </c>
      <c r="Z162" t="str">
        <f t="shared" si="163"/>
        <v>0,999999380753+0,0220836665221191i</v>
      </c>
      <c r="AA162" s="4">
        <f t="shared" si="177"/>
        <v>1.00024319534473</v>
      </c>
      <c r="AB162" s="4">
        <f t="shared" si="178"/>
        <v>0.0220800912586883</v>
      </c>
      <c r="AC162" s="67" t="str">
        <f t="shared" si="179"/>
        <v>14,8887100099834-35,1455267510679i</v>
      </c>
      <c r="AD162" s="68">
        <f t="shared" si="180"/>
        <v>31.6342429897253</v>
      </c>
      <c r="AE162" s="31">
        <f t="shared" si="181"/>
        <v>-67.0410123926157</v>
      </c>
      <c r="AF162" s="32" t="str">
        <f t="shared" si="182"/>
        <v>236,914774604583</v>
      </c>
      <c r="AG162" s="32" t="str">
        <f t="shared" si="164"/>
        <v>1+0,570446582904483i</v>
      </c>
      <c r="AH162" s="32">
        <f t="shared" si="183"/>
        <v>1.15126421986762</v>
      </c>
      <c r="AI162" s="32">
        <f t="shared" si="184"/>
        <v>0.518405532836185</v>
      </c>
      <c r="AJ162" s="32" t="str">
        <f t="shared" si="165"/>
        <v>1+0,0271347563759971i</v>
      </c>
      <c r="AK162" s="32">
        <f t="shared" si="185"/>
        <v>1.00036807976044</v>
      </c>
      <c r="AL162" s="32">
        <f t="shared" si="186"/>
        <v>0.0271280995880512</v>
      </c>
      <c r="AM162" s="32" t="str">
        <f t="shared" si="166"/>
        <v>1-0,00128986309119102i</v>
      </c>
      <c r="AN162" s="32">
        <f t="shared" si="187"/>
        <v>1.00000083187305</v>
      </c>
      <c r="AO162" s="32">
        <f t="shared" si="188"/>
        <v>-0.00128986237585654</v>
      </c>
      <c r="AP162" s="30" t="str">
        <f t="shared" si="189"/>
        <v>181,389953659062-97,3502421707652i</v>
      </c>
      <c r="AQ162" s="32">
        <f t="shared" si="190"/>
        <v>46.2715464941408</v>
      </c>
      <c r="AR162" s="31">
        <f t="shared" si="191"/>
        <v>-28.2220271654274</v>
      </c>
      <c r="AS162" t="str">
        <f t="shared" si="167"/>
        <v>-0,000272527472527473</v>
      </c>
      <c r="AT162" t="str">
        <f t="shared" si="168"/>
        <v>0,000388850749852457i</v>
      </c>
      <c r="AU162">
        <f t="shared" si="192"/>
        <v>0.000388850749852457</v>
      </c>
      <c r="AV162">
        <f t="shared" si="193"/>
        <v>1.5707963267949</v>
      </c>
      <c r="AW162" t="str">
        <f t="shared" si="169"/>
        <v>1+0,0199084451695096i</v>
      </c>
      <c r="AX162">
        <f t="shared" si="194"/>
        <v>1.00019815346214</v>
      </c>
      <c r="AY162">
        <f t="shared" si="195"/>
        <v>0.0199058155826929</v>
      </c>
      <c r="AZ162" t="str">
        <f t="shared" si="170"/>
        <v>1+0,951793112678467i</v>
      </c>
      <c r="BA162">
        <f t="shared" si="196"/>
        <v>1.38054703988751</v>
      </c>
      <c r="BB162">
        <f t="shared" si="197"/>
        <v>0.76070441483434</v>
      </c>
      <c r="BC162" s="30" t="str">
        <f t="shared" si="198"/>
        <v>-0,652856026038193+0,713851011740209i</v>
      </c>
      <c r="BD162" s="32">
        <f t="shared" si="199"/>
        <v>-0.288149831980557</v>
      </c>
      <c r="BE162" s="31">
        <f t="shared" si="200"/>
        <v>132.444633206323</v>
      </c>
      <c r="BF162" s="30" t="str">
        <f t="shared" si="201"/>
        <v>15,3684857794396+33,5732896318544i</v>
      </c>
      <c r="BG162" s="68">
        <f t="shared" si="202"/>
        <v>31.3460931577448</v>
      </c>
      <c r="BH162" s="31">
        <f t="shared" si="203"/>
        <v>65.4036208137069</v>
      </c>
      <c r="BI162" s="30" t="str">
        <f t="shared" si="156"/>
        <v>-48,9279554423521+193,041094176493i</v>
      </c>
      <c r="BJ162" s="68">
        <f t="shared" si="204"/>
        <v>45.9833966621602</v>
      </c>
      <c r="BK162" s="31">
        <f t="shared" si="157"/>
        <v>104.222606040895</v>
      </c>
      <c r="BL162" s="32">
        <f t="shared" si="205"/>
        <v>31.3460931577448</v>
      </c>
      <c r="BM162" s="31">
        <f t="shared" si="206"/>
        <v>65.4036208137069</v>
      </c>
      <c r="BO162">
        <f t="shared" si="207"/>
        <v>0</v>
      </c>
      <c r="BP162">
        <f t="shared" si="208"/>
        <v>0</v>
      </c>
    </row>
    <row r="163" spans="14:68">
      <c r="N163" s="7">
        <v>45</v>
      </c>
      <c r="O163" s="18">
        <f t="shared" si="158"/>
        <v>281.838293126446</v>
      </c>
      <c r="P163" s="86" t="str">
        <f t="shared" si="159"/>
        <v>96,0576923076923</v>
      </c>
      <c r="Q163" s="4" t="str">
        <f t="shared" si="160"/>
        <v>1+2,36380192960252i</v>
      </c>
      <c r="R163" s="4">
        <f t="shared" si="171"/>
        <v>2.56662415682402</v>
      </c>
      <c r="S163" s="4">
        <f t="shared" si="172"/>
        <v>1.17058080438041</v>
      </c>
      <c r="T163" s="4" t="str">
        <f t="shared" si="161"/>
        <v>1+0,0277668060468033i</v>
      </c>
      <c r="U163" s="4">
        <f t="shared" si="173"/>
        <v>1.00038542348339</v>
      </c>
      <c r="V163" s="4">
        <f t="shared" si="174"/>
        <v>0.0277596733184228</v>
      </c>
      <c r="W163" t="str">
        <f t="shared" si="162"/>
        <v>1-0,0131829365443298i</v>
      </c>
      <c r="X163" s="4">
        <f t="shared" si="175"/>
        <v>1.00008689113293</v>
      </c>
      <c r="Y163" s="4">
        <f t="shared" si="176"/>
        <v>-0.0131821729372473</v>
      </c>
      <c r="Z163" t="str">
        <f t="shared" si="163"/>
        <v>0,999999351568788+0,0225980611959496i</v>
      </c>
      <c r="AA163" s="4">
        <f t="shared" si="177"/>
        <v>1.00025465532924</v>
      </c>
      <c r="AB163" s="4">
        <f t="shared" si="178"/>
        <v>0.0225942302848364</v>
      </c>
      <c r="AC163" s="67" t="str">
        <f t="shared" si="179"/>
        <v>14,3080064085446-34,5915210771454i</v>
      </c>
      <c r="AD163" s="68">
        <f t="shared" si="180"/>
        <v>31.4652875971473</v>
      </c>
      <c r="AE163" s="31">
        <f t="shared" si="181"/>
        <v>-67.5286644590024</v>
      </c>
      <c r="AF163" s="32" t="str">
        <f t="shared" si="182"/>
        <v>236,914774604583</v>
      </c>
      <c r="AG163" s="32" t="str">
        <f t="shared" si="164"/>
        <v>1+0,58373399075666i</v>
      </c>
      <c r="AH163" s="32">
        <f t="shared" si="183"/>
        <v>1.15790559717306</v>
      </c>
      <c r="AI163" s="32">
        <f t="shared" si="184"/>
        <v>0.528373332406846</v>
      </c>
      <c r="AJ163" s="32" t="str">
        <f t="shared" si="165"/>
        <v>1+0,0277668060468033i</v>
      </c>
      <c r="AK163" s="32">
        <f t="shared" si="185"/>
        <v>1.00038542348339</v>
      </c>
      <c r="AL163" s="32">
        <f t="shared" si="186"/>
        <v>0.0277596733184228</v>
      </c>
      <c r="AM163" s="32" t="str">
        <f t="shared" si="166"/>
        <v>1-0,00131990786221736i</v>
      </c>
      <c r="AN163" s="32">
        <f t="shared" si="187"/>
        <v>1.000000871078</v>
      </c>
      <c r="AO163" s="32">
        <f t="shared" si="188"/>
        <v>-0.00131990709572269</v>
      </c>
      <c r="AP163" s="30" t="str">
        <f t="shared" si="189"/>
        <v>179,438200368194-98,4785158727274i</v>
      </c>
      <c r="AQ163" s="32">
        <f t="shared" si="190"/>
        <v>46.2217345070974</v>
      </c>
      <c r="AR163" s="31">
        <f t="shared" si="191"/>
        <v>-28.7586749383019</v>
      </c>
      <c r="AS163" t="str">
        <f t="shared" si="167"/>
        <v>-0,000272527472527473</v>
      </c>
      <c r="AT163" t="str">
        <f t="shared" si="168"/>
        <v>0,000397908247367136i</v>
      </c>
      <c r="AU163">
        <f t="shared" si="192"/>
        <v>0.000397908247367136</v>
      </c>
      <c r="AV163">
        <f t="shared" si="193"/>
        <v>1.5707963267949</v>
      </c>
      <c r="AW163" t="str">
        <f t="shared" si="169"/>
        <v>1+0,0203721724291648i</v>
      </c>
      <c r="AX163">
        <f t="shared" si="194"/>
        <v>1.00020749117845</v>
      </c>
      <c r="AY163">
        <f t="shared" si="195"/>
        <v>0.0203693548076941</v>
      </c>
      <c r="AZ163" t="str">
        <f t="shared" si="170"/>
        <v>1+0,973963222304962i</v>
      </c>
      <c r="BA163">
        <f t="shared" si="196"/>
        <v>1.39592419507746</v>
      </c>
      <c r="BB163">
        <f t="shared" si="197"/>
        <v>0.772208825516555</v>
      </c>
      <c r="BC163" s="30" t="str">
        <f t="shared" si="198"/>
        <v>-0,652843836255652+0,698200133462791i</v>
      </c>
      <c r="BD163" s="32">
        <f t="shared" si="199"/>
        <v>-0.392018408047316</v>
      </c>
      <c r="BE163" s="31">
        <f t="shared" si="200"/>
        <v>133.077228542967</v>
      </c>
      <c r="BF163" s="30" t="str">
        <f t="shared" si="201"/>
        <v>14,8109108398192+32,5727133059542i</v>
      </c>
      <c r="BG163" s="68">
        <f t="shared" si="202"/>
        <v>31.0732691891</v>
      </c>
      <c r="BH163" s="31">
        <f t="shared" si="203"/>
        <v>65.548564083965</v>
      </c>
      <c r="BI163" s="30" t="str">
        <f t="shared" si="156"/>
        <v>-48,3874101736263+189,574867536511i</v>
      </c>
      <c r="BJ163" s="68">
        <f t="shared" si="204"/>
        <v>45.8297160990501</v>
      </c>
      <c r="BK163" s="31">
        <f t="shared" si="157"/>
        <v>104.318553604666</v>
      </c>
      <c r="BL163" s="32">
        <f t="shared" si="205"/>
        <v>31.0732691891</v>
      </c>
      <c r="BM163" s="31">
        <f t="shared" si="206"/>
        <v>65.548564083965</v>
      </c>
      <c r="BO163">
        <f t="shared" si="207"/>
        <v>0</v>
      </c>
      <c r="BP163">
        <f t="shared" si="208"/>
        <v>0</v>
      </c>
    </row>
    <row r="164" spans="14:68">
      <c r="N164" s="7">
        <v>46</v>
      </c>
      <c r="O164" s="18">
        <f t="shared" si="158"/>
        <v>288.403150312661</v>
      </c>
      <c r="P164" s="86" t="str">
        <f t="shared" si="159"/>
        <v>96,0576923076923</v>
      </c>
      <c r="Q164" s="4" t="str">
        <f t="shared" si="160"/>
        <v>1+2,41886194970198i</v>
      </c>
      <c r="R164" s="4">
        <f t="shared" si="171"/>
        <v>2.61742108414295</v>
      </c>
      <c r="S164" s="4">
        <f t="shared" si="172"/>
        <v>1.17877686862549</v>
      </c>
      <c r="T164" s="4" t="str">
        <f t="shared" si="161"/>
        <v>1+0,0284135780457127i</v>
      </c>
      <c r="U164" s="4">
        <f t="shared" si="173"/>
        <v>1.00040358426855</v>
      </c>
      <c r="V164" s="4">
        <f t="shared" si="174"/>
        <v>0.0284059353560694</v>
      </c>
      <c r="W164" t="str">
        <f t="shared" si="162"/>
        <v>1-0,0134900065834946i</v>
      </c>
      <c r="X164" s="4">
        <f t="shared" si="175"/>
        <v>1.00009098599959</v>
      </c>
      <c r="Y164" s="4">
        <f t="shared" si="176"/>
        <v>-0.0134891883677845</v>
      </c>
      <c r="Z164" t="str">
        <f t="shared" si="163"/>
        <v>0,999999321009166+0,0231244376609469i</v>
      </c>
      <c r="AA164" s="4">
        <f t="shared" si="177"/>
        <v>1.00026665526545</v>
      </c>
      <c r="AB164" s="4">
        <f t="shared" si="178"/>
        <v>0.023120332824832</v>
      </c>
      <c r="AC164" s="67" t="str">
        <f t="shared" si="179"/>
        <v>13,7456284266605-34,0369658414043i</v>
      </c>
      <c r="AD164" s="68">
        <f t="shared" si="180"/>
        <v>31.2951502593502</v>
      </c>
      <c r="AE164" s="31">
        <f t="shared" si="181"/>
        <v>-68.0089704051952</v>
      </c>
      <c r="AF164" s="32" t="str">
        <f t="shared" si="182"/>
        <v>236,914774604583</v>
      </c>
      <c r="AG164" s="32" t="str">
        <f t="shared" si="164"/>
        <v>1+0,597330902097369i</v>
      </c>
      <c r="AH164" s="32">
        <f t="shared" si="183"/>
        <v>1.16481938797414</v>
      </c>
      <c r="AI164" s="32">
        <f t="shared" si="184"/>
        <v>0.538454617074202</v>
      </c>
      <c r="AJ164" s="32" t="str">
        <f t="shared" si="165"/>
        <v>1+0,0284135780457127i</v>
      </c>
      <c r="AK164" s="32">
        <f t="shared" si="185"/>
        <v>1.00040358426855</v>
      </c>
      <c r="AL164" s="32">
        <f t="shared" si="186"/>
        <v>0.0284059353560694</v>
      </c>
      <c r="AM164" s="32" t="str">
        <f t="shared" si="166"/>
        <v>1-0,0013506524658633i</v>
      </c>
      <c r="AN164" s="32">
        <f t="shared" si="187"/>
        <v>1.00000091213063</v>
      </c>
      <c r="AO164" s="32">
        <f t="shared" si="188"/>
        <v>-0.0013506516445495</v>
      </c>
      <c r="AP164" s="30" t="str">
        <f t="shared" si="189"/>
        <v>177,441753513501-99,5798357820682i</v>
      </c>
      <c r="AQ164" s="32">
        <f t="shared" si="190"/>
        <v>46.170183795382</v>
      </c>
      <c r="AR164" s="31">
        <f t="shared" si="191"/>
        <v>-29.3010234474856</v>
      </c>
      <c r="AS164" t="str">
        <f t="shared" si="167"/>
        <v>-0,000272527472527473</v>
      </c>
      <c r="AT164" t="str">
        <f t="shared" si="168"/>
        <v>0,000407176721101507i</v>
      </c>
      <c r="AU164">
        <f t="shared" si="192"/>
        <v>0.000407176721101507</v>
      </c>
      <c r="AV164">
        <f t="shared" si="193"/>
        <v>1.5707963267949</v>
      </c>
      <c r="AW164" t="str">
        <f t="shared" si="169"/>
        <v>1+0,0208467012842995i</v>
      </c>
      <c r="AX164">
        <f t="shared" si="194"/>
        <v>1.00021726887434</v>
      </c>
      <c r="AY164">
        <f t="shared" si="195"/>
        <v>0.0208436821839178</v>
      </c>
      <c r="AZ164" t="str">
        <f t="shared" si="170"/>
        <v>1+0,99664974012385i</v>
      </c>
      <c r="BA164">
        <f t="shared" si="196"/>
        <v>1.41184655840815</v>
      </c>
      <c r="BB164">
        <f t="shared" si="197"/>
        <v>0.783720224265397</v>
      </c>
      <c r="BC164" s="30" t="str">
        <f t="shared" si="198"/>
        <v>-0,652831072474235+0,682919426734786i</v>
      </c>
      <c r="BD164" s="32">
        <f t="shared" si="199"/>
        <v>-0.493590023768823</v>
      </c>
      <c r="BE164" s="31">
        <f t="shared" si="200"/>
        <v>133.709606150803</v>
      </c>
      <c r="BF164" s="30" t="str">
        <f t="shared" si="201"/>
        <v>14,2709318525942+31,6075455992572i</v>
      </c>
      <c r="BG164" s="68">
        <f t="shared" si="202"/>
        <v>30.8015602355813</v>
      </c>
      <c r="BH164" s="31">
        <f t="shared" si="203"/>
        <v>65.7006357456078</v>
      </c>
      <c r="BI164" s="30" t="str">
        <f t="shared" si="156"/>
        <v>-47,8344858812936+186,187231578671i</v>
      </c>
      <c r="BJ164" s="68">
        <f t="shared" si="204"/>
        <v>45.6765937716132</v>
      </c>
      <c r="BK164" s="31">
        <f t="shared" si="157"/>
        <v>104.408582703318</v>
      </c>
      <c r="BL164" s="32">
        <f t="shared" si="205"/>
        <v>30.8015602355813</v>
      </c>
      <c r="BM164" s="31">
        <f t="shared" si="206"/>
        <v>65.7006357456078</v>
      </c>
      <c r="BO164">
        <f t="shared" si="207"/>
        <v>0</v>
      </c>
      <c r="BP164">
        <f t="shared" si="208"/>
        <v>0</v>
      </c>
    </row>
    <row r="165" spans="14:68">
      <c r="N165" s="7">
        <v>47</v>
      </c>
      <c r="O165" s="18">
        <f t="shared" si="158"/>
        <v>295.120922666639</v>
      </c>
      <c r="P165" s="86" t="str">
        <f t="shared" si="159"/>
        <v>96,0576923076923</v>
      </c>
      <c r="Q165" s="4" t="str">
        <f t="shared" si="160"/>
        <v>1+2,4752044824246i</v>
      </c>
      <c r="R165" s="4">
        <f t="shared" si="171"/>
        <v>2.66957622663501</v>
      </c>
      <c r="S165" s="4">
        <f t="shared" si="172"/>
        <v>1.18684039757224</v>
      </c>
      <c r="T165" s="4" t="str">
        <f t="shared" si="161"/>
        <v>1+0,0290754152998001i</v>
      </c>
      <c r="U165" s="4">
        <f t="shared" si="173"/>
        <v>1.0004226005918</v>
      </c>
      <c r="V165" s="4">
        <f t="shared" si="174"/>
        <v>0.0290672261971267</v>
      </c>
      <c r="W165" t="str">
        <f t="shared" si="162"/>
        <v>1-0,0138042292027112i</v>
      </c>
      <c r="X165" s="4">
        <f t="shared" si="175"/>
        <v>1.00009527383339</v>
      </c>
      <c r="Y165" s="4">
        <f t="shared" si="176"/>
        <v>-0.0138033524732928</v>
      </c>
      <c r="Z165" t="str">
        <f t="shared" si="163"/>
        <v>0,999999289009314+0,0236630750088801i</v>
      </c>
      <c r="AA165" s="4">
        <f t="shared" si="177"/>
        <v>1.00027922058694</v>
      </c>
      <c r="AB165" s="4">
        <f t="shared" si="178"/>
        <v>0.0236586766640466</v>
      </c>
      <c r="AC165" s="67" t="str">
        <f t="shared" si="179"/>
        <v>13,2012903381856-33,4824613688005i</v>
      </c>
      <c r="AD165" s="68">
        <f t="shared" si="180"/>
        <v>31.1238689002975</v>
      </c>
      <c r="AE165" s="31">
        <f t="shared" si="181"/>
        <v>-68.4819325148365</v>
      </c>
      <c r="AF165" s="32" t="str">
        <f t="shared" si="182"/>
        <v>236,914774604583</v>
      </c>
      <c r="AG165" s="32" t="str">
        <f t="shared" si="164"/>
        <v>1+0,611244526188978i</v>
      </c>
      <c r="AH165" s="32">
        <f t="shared" si="183"/>
        <v>1.1720153031407</v>
      </c>
      <c r="AI165" s="32">
        <f t="shared" si="184"/>
        <v>0.548646534853282</v>
      </c>
      <c r="AJ165" s="32" t="str">
        <f t="shared" si="165"/>
        <v>1+0,0290754152998001i</v>
      </c>
      <c r="AK165" s="32">
        <f t="shared" si="185"/>
        <v>1.0004226005918</v>
      </c>
      <c r="AL165" s="32">
        <f t="shared" si="186"/>
        <v>0.0290672261971267</v>
      </c>
      <c r="AM165" s="32" t="str">
        <f t="shared" si="166"/>
        <v>1-0,00138211320332463i</v>
      </c>
      <c r="AN165" s="32">
        <f t="shared" si="187"/>
        <v>1.000000955118</v>
      </c>
      <c r="AO165" s="32">
        <f t="shared" si="188"/>
        <v>-0.00138211232327109</v>
      </c>
      <c r="AP165" s="30" t="str">
        <f t="shared" si="189"/>
        <v>175,401249301372-100,652101097929i</v>
      </c>
      <c r="AQ165" s="32">
        <f t="shared" si="190"/>
        <v>46.1168554410895</v>
      </c>
      <c r="AR165" s="31">
        <f t="shared" si="191"/>
        <v>-29.8488907112593</v>
      </c>
      <c r="AS165" t="str">
        <f t="shared" si="167"/>
        <v>-0,000272527472527473</v>
      </c>
      <c r="AT165" t="str">
        <f t="shared" si="168"/>
        <v>0,000416661085323027i</v>
      </c>
      <c r="AU165">
        <f t="shared" si="192"/>
        <v>0.000416661085323027</v>
      </c>
      <c r="AV165">
        <f t="shared" si="193"/>
        <v>1.5707963267949</v>
      </c>
      <c r="AW165" t="str">
        <f t="shared" si="169"/>
        <v>1+0,0213322833363939i</v>
      </c>
      <c r="AX165">
        <f t="shared" si="194"/>
        <v>1.00022750727639</v>
      </c>
      <c r="AY165">
        <f t="shared" si="195"/>
        <v>0.0213290483517902</v>
      </c>
      <c r="AZ165" t="str">
        <f t="shared" si="170"/>
        <v>1+1,01986469482717i</v>
      </c>
      <c r="BA165">
        <f t="shared" si="196"/>
        <v>1.42832909224552</v>
      </c>
      <c r="BB165">
        <f t="shared" si="197"/>
        <v>0.795232512437309</v>
      </c>
      <c r="BC165" s="30" t="str">
        <f t="shared" si="198"/>
        <v>-0,652817707689251+0,668000787850918i</v>
      </c>
      <c r="BD165" s="32">
        <f t="shared" si="199"/>
        <v>-0.592863283662289</v>
      </c>
      <c r="BE165" s="31">
        <f t="shared" si="200"/>
        <v>134.341402242654</v>
      </c>
      <c r="BF165" s="30" t="str">
        <f t="shared" si="201"/>
        <v>13,7482744764321+30,6764160251309i</v>
      </c>
      <c r="BG165" s="68">
        <f t="shared" si="202"/>
        <v>30.5310056166352</v>
      </c>
      <c r="BH165" s="31">
        <f t="shared" si="203"/>
        <v>65.8594697278179</v>
      </c>
      <c r="BI165" s="30" t="str">
        <f t="shared" si="156"/>
        <v>-47,2693586624857+182,875646636209i</v>
      </c>
      <c r="BJ165" s="68">
        <f t="shared" si="204"/>
        <v>45.5239921574272</v>
      </c>
      <c r="BK165" s="31">
        <f t="shared" si="157"/>
        <v>104.492511531395</v>
      </c>
      <c r="BL165" s="32">
        <f t="shared" si="205"/>
        <v>30.5310056166352</v>
      </c>
      <c r="BM165" s="31">
        <f t="shared" si="206"/>
        <v>65.8594697278179</v>
      </c>
      <c r="BO165">
        <f t="shared" si="207"/>
        <v>0</v>
      </c>
      <c r="BP165">
        <f t="shared" si="208"/>
        <v>0</v>
      </c>
    </row>
    <row r="166" spans="14:68">
      <c r="N166" s="7">
        <v>48</v>
      </c>
      <c r="O166" s="18">
        <f t="shared" si="158"/>
        <v>301.995172040202</v>
      </c>
      <c r="P166" s="86" t="str">
        <f t="shared" si="159"/>
        <v>96,0576923076923</v>
      </c>
      <c r="Q166" s="4" t="str">
        <f t="shared" si="160"/>
        <v>1+2,532859401327i</v>
      </c>
      <c r="R166" s="4">
        <f t="shared" si="171"/>
        <v>2.72311893733832</v>
      </c>
      <c r="S166" s="4">
        <f t="shared" si="172"/>
        <v>1.19477147120773</v>
      </c>
      <c r="T166" s="4" t="str">
        <f t="shared" si="161"/>
        <v>1+0,029752668723938i</v>
      </c>
      <c r="U166" s="4">
        <f t="shared" si="173"/>
        <v>1.00044251273934</v>
      </c>
      <c r="V166" s="4">
        <f t="shared" si="174"/>
        <v>0.0297438941519385</v>
      </c>
      <c r="W166" t="str">
        <f t="shared" si="162"/>
        <v>1-0,0141257710069717i</v>
      </c>
      <c r="X166" s="4">
        <f t="shared" si="175"/>
        <v>1.00009976372687</v>
      </c>
      <c r="Y166" s="4">
        <f t="shared" si="176"/>
        <v>-0.0141248315795356</v>
      </c>
      <c r="Z166" t="str">
        <f t="shared" si="163"/>
        <v>0,999999255501356+0,0242142588324008i</v>
      </c>
      <c r="AA166" s="4">
        <f t="shared" si="177"/>
        <v>1.00029237792461</v>
      </c>
      <c r="AB166" s="4">
        <f t="shared" si="178"/>
        <v>0.0242095459953972</v>
      </c>
      <c r="AC166" s="67" t="str">
        <f t="shared" si="179"/>
        <v>12,6746874290253-32,9285792630912i</v>
      </c>
      <c r="AD166" s="68">
        <f t="shared" si="180"/>
        <v>30.9514808398437</v>
      </c>
      <c r="AE166" s="31">
        <f t="shared" si="181"/>
        <v>-68.9475612269538</v>
      </c>
      <c r="AF166" s="32" t="str">
        <f t="shared" si="182"/>
        <v>236,914774604583</v>
      </c>
      <c r="AG166" s="32" t="str">
        <f t="shared" si="164"/>
        <v>1+0,625482240219151i</v>
      </c>
      <c r="AH166" s="32">
        <f t="shared" si="183"/>
        <v>1.17950329920249</v>
      </c>
      <c r="AI166" s="32">
        <f t="shared" si="184"/>
        <v>0.558946019669385</v>
      </c>
      <c r="AJ166" s="32" t="str">
        <f t="shared" si="165"/>
        <v>1+0,029752668723938i</v>
      </c>
      <c r="AK166" s="32">
        <f t="shared" si="185"/>
        <v>1.00044251273934</v>
      </c>
      <c r="AL166" s="32">
        <f t="shared" si="186"/>
        <v>0.0297438941519385</v>
      </c>
      <c r="AM166" s="32" t="str">
        <f t="shared" si="166"/>
        <v>1-0,0014143067555008i</v>
      </c>
      <c r="AN166" s="32">
        <f t="shared" si="187"/>
        <v>1.0000010001313</v>
      </c>
      <c r="AO166" s="32">
        <f t="shared" si="188"/>
        <v>-0.00141430581250649</v>
      </c>
      <c r="AP166" s="30" t="str">
        <f t="shared" si="189"/>
        <v>173,317447750065-101,693208849361i</v>
      </c>
      <c r="AQ166" s="32">
        <f t="shared" si="190"/>
        <v>46.0617111591927</v>
      </c>
      <c r="AR166" s="31">
        <f t="shared" si="191"/>
        <v>-30.4020820554996</v>
      </c>
      <c r="AS166" t="str">
        <f t="shared" si="167"/>
        <v>-0,000272527472527473</v>
      </c>
      <c r="AT166" t="str">
        <f t="shared" si="168"/>
        <v>0,000426366368767147i</v>
      </c>
      <c r="AU166">
        <f t="shared" si="192"/>
        <v>0.000426366368767147</v>
      </c>
      <c r="AV166">
        <f t="shared" si="193"/>
        <v>1.5707963267949</v>
      </c>
      <c r="AW166" t="str">
        <f t="shared" si="169"/>
        <v>1+0,0218291760474794i</v>
      </c>
      <c r="AX166">
        <f t="shared" si="194"/>
        <v>1.00023822808715</v>
      </c>
      <c r="AY166">
        <f t="shared" si="195"/>
        <v>0.0218257097436118</v>
      </c>
      <c r="AZ166" t="str">
        <f t="shared" si="170"/>
        <v>1+1,04362039529119i</v>
      </c>
      <c r="BA166">
        <f t="shared" si="196"/>
        <v>1.44538698259938</v>
      </c>
      <c r="BB166">
        <f t="shared" si="197"/>
        <v>0.806739589032965</v>
      </c>
      <c r="BC166" s="30" t="str">
        <f t="shared" si="198"/>
        <v>-0,652803713627841+0,653436304959655i</v>
      </c>
      <c r="BD166" s="32">
        <f t="shared" si="199"/>
        <v>-0.689839240486785</v>
      </c>
      <c r="BE166" s="31">
        <f t="shared" si="200"/>
        <v>134.972252564521</v>
      </c>
      <c r="BF166" s="30" t="str">
        <f t="shared" si="201"/>
        <v>13,2426461385056+29,7779997475755i</v>
      </c>
      <c r="BG166" s="68">
        <f t="shared" si="202"/>
        <v>30.2616415993569</v>
      </c>
      <c r="BH166" s="31">
        <f t="shared" si="203"/>
        <v>66.024691337567</v>
      </c>
      <c r="BI166" s="30" t="str">
        <f t="shared" si="156"/>
        <v>-46,6922388977248+179,637617030435i</v>
      </c>
      <c r="BJ166" s="68">
        <f t="shared" si="204"/>
        <v>45.371871918706</v>
      </c>
      <c r="BK166" s="31">
        <f t="shared" si="157"/>
        <v>104.570170509021</v>
      </c>
      <c r="BL166" s="32">
        <f t="shared" si="205"/>
        <v>30.2616415993569</v>
      </c>
      <c r="BM166" s="31">
        <f t="shared" si="206"/>
        <v>66.024691337567</v>
      </c>
      <c r="BO166">
        <f t="shared" si="207"/>
        <v>0</v>
      </c>
      <c r="BP166">
        <f t="shared" si="208"/>
        <v>0</v>
      </c>
    </row>
    <row r="167" spans="14:68">
      <c r="N167" s="7">
        <v>49</v>
      </c>
      <c r="O167" s="18">
        <f t="shared" si="158"/>
        <v>309.029543251359</v>
      </c>
      <c r="P167" s="86" t="str">
        <f t="shared" si="159"/>
        <v>96,0576923076923</v>
      </c>
      <c r="Q167" s="4" t="str">
        <f t="shared" si="160"/>
        <v>1+2,59185727581035i</v>
      </c>
      <c r="R167" s="4">
        <f t="shared" si="171"/>
        <v>2.77807921740382</v>
      </c>
      <c r="S167" s="4">
        <f t="shared" si="172"/>
        <v>1.20257030261662</v>
      </c>
      <c r="T167" s="4" t="str">
        <f t="shared" si="161"/>
        <v>1+0,0304456974068565i</v>
      </c>
      <c r="U167" s="4">
        <f t="shared" si="173"/>
        <v>1.00046336289271</v>
      </c>
      <c r="V167" s="4">
        <f t="shared" si="174"/>
        <v>0.0304362955187337</v>
      </c>
      <c r="W167" t="str">
        <f t="shared" si="162"/>
        <v>1-0,0144548024819968i</v>
      </c>
      <c r="X167" s="4">
        <f t="shared" si="175"/>
        <v>1.00010446520091</v>
      </c>
      <c r="Y167" s="4">
        <f t="shared" si="176"/>
        <v>-0.0144537958730419</v>
      </c>
      <c r="Z167" t="str">
        <f t="shared" si="163"/>
        <v>0,999999220414216+0,0247782813764681i</v>
      </c>
      <c r="AA167" s="4">
        <f t="shared" si="177"/>
        <v>1.00030615516301</v>
      </c>
      <c r="AB167" s="4">
        <f t="shared" si="178"/>
        <v>0.0247732315641074</v>
      </c>
      <c r="AC167" s="67" t="str">
        <f t="shared" si="179"/>
        <v>12,1654981359251-32,3758623351755i</v>
      </c>
      <c r="AD167" s="68">
        <f t="shared" si="180"/>
        <v>30.7780227569787</v>
      </c>
      <c r="AE167" s="31">
        <f t="shared" si="181"/>
        <v>-69.4058747454587</v>
      </c>
      <c r="AF167" s="32" t="str">
        <f t="shared" si="182"/>
        <v>236,914774604583</v>
      </c>
      <c r="AG167" s="32" t="str">
        <f t="shared" si="164"/>
        <v>1+0,640051593212324i</v>
      </c>
      <c r="AH167" s="32">
        <f t="shared" si="183"/>
        <v>1.18729357867953</v>
      </c>
      <c r="AI167" s="32">
        <f t="shared" si="184"/>
        <v>0.569349791557363</v>
      </c>
      <c r="AJ167" s="32" t="str">
        <f t="shared" si="165"/>
        <v>1+0,0304456974068565i</v>
      </c>
      <c r="AK167" s="32">
        <f t="shared" si="185"/>
        <v>1.00046336289271</v>
      </c>
      <c r="AL167" s="32">
        <f t="shared" si="186"/>
        <v>0.0304362955187337</v>
      </c>
      <c r="AM167" s="32" t="str">
        <f t="shared" si="166"/>
        <v>1-0,0014472501918393i</v>
      </c>
      <c r="AN167" s="32">
        <f t="shared" si="187"/>
        <v>1.00000104726601</v>
      </c>
      <c r="AO167" s="32">
        <f t="shared" si="188"/>
        <v>-0.00144724918140275</v>
      </c>
      <c r="AP167" s="30" t="str">
        <f t="shared" si="189"/>
        <v>171,191235168271-102,701062227609i</v>
      </c>
      <c r="AQ167" s="32">
        <f t="shared" si="190"/>
        <v>46.0047134089111</v>
      </c>
      <c r="AR167" s="31">
        <f t="shared" si="191"/>
        <v>-30.9603901156519</v>
      </c>
      <c r="AS167" t="str">
        <f t="shared" si="167"/>
        <v>-0,000272527472527473</v>
      </c>
      <c r="AT167" t="str">
        <f t="shared" si="168"/>
        <v>0,000436297717303613i</v>
      </c>
      <c r="AU167">
        <f t="shared" si="192"/>
        <v>0.000436297717303613</v>
      </c>
      <c r="AV167">
        <f t="shared" si="193"/>
        <v>1.5707963267949</v>
      </c>
      <c r="AW167" t="str">
        <f t="shared" si="169"/>
        <v>1+0,0223376428766485i</v>
      </c>
      <c r="AX167">
        <f t="shared" si="194"/>
        <v>1.00024945403099</v>
      </c>
      <c r="AY167">
        <f t="shared" si="195"/>
        <v>0.0223339287151628</v>
      </c>
      <c r="AZ167" t="str">
        <f t="shared" si="170"/>
        <v>1+1,06792943710275i</v>
      </c>
      <c r="BA167">
        <f t="shared" si="196"/>
        <v>1.46303563956269</v>
      </c>
      <c r="BB167">
        <f t="shared" si="197"/>
        <v>0.818235366850441</v>
      </c>
      <c r="BC167" s="30" t="str">
        <f t="shared" si="198"/>
        <v>-0,652789060689669+0,639218253859717i</v>
      </c>
      <c r="BD167" s="32">
        <f t="shared" si="199"/>
        <v>-0.784521391979352</v>
      </c>
      <c r="BE167" s="31">
        <f t="shared" si="200"/>
        <v>135.601793313544</v>
      </c>
      <c r="BF167" s="30" t="str">
        <f t="shared" si="201"/>
        <v>12,753738088121+28,9110172385769i</v>
      </c>
      <c r="BG167" s="68">
        <f t="shared" si="202"/>
        <v>29.9935013649994</v>
      </c>
      <c r="BH167" s="31">
        <f t="shared" si="203"/>
        <v>66.1959185680852</v>
      </c>
      <c r="BI167" s="30" t="str">
        <f t="shared" si="156"/>
        <v>-46,1033719371295+176,470692363743i</v>
      </c>
      <c r="BJ167" s="68">
        <f t="shared" si="204"/>
        <v>45.2201920169318</v>
      </c>
      <c r="BK167" s="31">
        <f t="shared" si="157"/>
        <v>104.641403197892</v>
      </c>
      <c r="BL167" s="32">
        <f t="shared" si="205"/>
        <v>29.9935013649994</v>
      </c>
      <c r="BM167" s="31">
        <f t="shared" si="206"/>
        <v>66.1959185680852</v>
      </c>
      <c r="BO167">
        <f t="shared" si="207"/>
        <v>0</v>
      </c>
      <c r="BP167">
        <f t="shared" si="208"/>
        <v>0</v>
      </c>
    </row>
    <row r="168" spans="14:68">
      <c r="N168" s="7">
        <v>50</v>
      </c>
      <c r="O168" s="18">
        <f t="shared" si="158"/>
        <v>316.227766016838</v>
      </c>
      <c r="P168" s="86" t="str">
        <f t="shared" si="159"/>
        <v>96,0576923076923</v>
      </c>
      <c r="Q168" s="4" t="str">
        <f t="shared" si="160"/>
        <v>1+2,65222938732861i</v>
      </c>
      <c r="R168" s="4">
        <f t="shared" si="171"/>
        <v>2.83448773555461</v>
      </c>
      <c r="S168" s="4">
        <f t="shared" si="172"/>
        <v>1.21023723110725</v>
      </c>
      <c r="T168" s="4" t="str">
        <f t="shared" si="161"/>
        <v>1+0,0311548688015366i</v>
      </c>
      <c r="U168" s="4">
        <f t="shared" si="173"/>
        <v>1.00048519521782</v>
      </c>
      <c r="V168" s="4">
        <f t="shared" si="174"/>
        <v>0.0311447947607563</v>
      </c>
      <c r="W168" t="str">
        <f t="shared" si="162"/>
        <v>1-0,0147914980846298i</v>
      </c>
      <c r="X168" s="4">
        <f t="shared" si="175"/>
        <v>1.0001093882249</v>
      </c>
      <c r="Y168" s="4">
        <f t="shared" si="176"/>
        <v>-0.0147904194900733</v>
      </c>
      <c r="Z168" t="str">
        <f t="shared" si="163"/>
        <v>0,999999183673469+0,0253554416933005i</v>
      </c>
      <c r="AA168" s="4">
        <f t="shared" si="177"/>
        <v>1.00032058149928</v>
      </c>
      <c r="AB168" s="4">
        <f t="shared" si="178"/>
        <v>0.0253500308155205</v>
      </c>
      <c r="AC168" s="67" t="str">
        <f t="shared" si="179"/>
        <v>11,6733861059089-31,8248246704671i</v>
      </c>
      <c r="AD168" s="68">
        <f t="shared" si="180"/>
        <v>30.6035306574508</v>
      </c>
      <c r="AE168" s="31">
        <f t="shared" si="181"/>
        <v>-69.8568986487166</v>
      </c>
      <c r="AF168" s="32" t="str">
        <f t="shared" si="182"/>
        <v>236,914774604583</v>
      </c>
      <c r="AG168" s="32" t="str">
        <f t="shared" si="164"/>
        <v>1+0,654960310032302i</v>
      </c>
      <c r="AH168" s="32">
        <f t="shared" si="183"/>
        <v>1.19539659013969</v>
      </c>
      <c r="AI168" s="32">
        <f t="shared" si="184"/>
        <v>0.579854357729449</v>
      </c>
      <c r="AJ168" s="32" t="str">
        <f t="shared" si="165"/>
        <v>1+0,0311548688015366i</v>
      </c>
      <c r="AK168" s="32">
        <f t="shared" si="185"/>
        <v>1.00048519521782</v>
      </c>
      <c r="AL168" s="32">
        <f t="shared" si="186"/>
        <v>0.0311447947607563</v>
      </c>
      <c r="AM168" s="32" t="str">
        <f t="shared" si="166"/>
        <v>1-0,00148096097938613i</v>
      </c>
      <c r="AN168" s="32">
        <f t="shared" si="187"/>
        <v>1.00000109662211</v>
      </c>
      <c r="AO168" s="32">
        <f t="shared" si="188"/>
        <v>-0.00148095989668393</v>
      </c>
      <c r="AP168" s="30" t="str">
        <f t="shared" si="189"/>
        <v>169,023626004438-103,673579307328i</v>
      </c>
      <c r="AQ168" s="32">
        <f t="shared" si="190"/>
        <v>45.9458255070307</v>
      </c>
      <c r="AR168" s="31">
        <f t="shared" si="191"/>
        <v>-31.5235948882819</v>
      </c>
      <c r="AS168" t="str">
        <f t="shared" si="167"/>
        <v>-0,000272527472527473</v>
      </c>
      <c r="AT168" t="str">
        <f t="shared" si="168"/>
        <v>0,000446460396664877i</v>
      </c>
      <c r="AU168">
        <f t="shared" si="192"/>
        <v>0.000446460396664877</v>
      </c>
      <c r="AV168">
        <f t="shared" si="193"/>
        <v>1.5707963267949</v>
      </c>
      <c r="AW168" t="str">
        <f t="shared" si="169"/>
        <v>1+0,0228579534197445i</v>
      </c>
      <c r="AX168">
        <f t="shared" si="194"/>
        <v>1.00026120890222</v>
      </c>
      <c r="AY168">
        <f t="shared" si="195"/>
        <v>0.0228539736801384</v>
      </c>
      <c r="AZ168" t="str">
        <f t="shared" si="170"/>
        <v>1+1,09280470923757i</v>
      </c>
      <c r="BA168">
        <f t="shared" si="196"/>
        <v>1.48129069818581</v>
      </c>
      <c r="BB168">
        <f t="shared" si="197"/>
        <v>0.829713788549334</v>
      </c>
      <c r="BC168" s="30" t="str">
        <f t="shared" si="198"/>
        <v>-0,65277371788481+0,625339093895474i</v>
      </c>
      <c r="BD168" s="32">
        <f t="shared" si="199"/>
        <v>-0.876915667311017</v>
      </c>
      <c r="BE168" s="31">
        <f t="shared" si="200"/>
        <v>136.229662050712</v>
      </c>
      <c r="BF168" s="30" t="str">
        <f t="shared" si="201"/>
        <v>12,2812273741532+28,0742338113341i</v>
      </c>
      <c r="BG168" s="68">
        <f t="shared" si="202"/>
        <v>29.7266149901398</v>
      </c>
      <c r="BH168" s="31">
        <f t="shared" si="203"/>
        <v>66.3727634019953</v>
      </c>
      <c r="BI168" s="30" t="str">
        <f t="shared" si="156"/>
        <v>-45,5030386123436+173,372468943413i</v>
      </c>
      <c r="BJ168" s="68">
        <f t="shared" si="204"/>
        <v>45.0689098397197</v>
      </c>
      <c r="BK168" s="31">
        <f t="shared" si="157"/>
        <v>104.70606716243</v>
      </c>
      <c r="BL168" s="32">
        <f t="shared" si="205"/>
        <v>29.7266149901398</v>
      </c>
      <c r="BM168" s="31">
        <f t="shared" si="206"/>
        <v>66.3727634019953</v>
      </c>
      <c r="BO168">
        <f t="shared" si="207"/>
        <v>0</v>
      </c>
      <c r="BP168">
        <f t="shared" si="208"/>
        <v>0</v>
      </c>
    </row>
    <row r="169" spans="14:68">
      <c r="N169" s="7">
        <v>51</v>
      </c>
      <c r="O169" s="18">
        <f t="shared" si="158"/>
        <v>323.593656929628</v>
      </c>
      <c r="P169" s="86" t="str">
        <f t="shared" si="159"/>
        <v>96,0576923076923</v>
      </c>
      <c r="Q169" s="4" t="str">
        <f t="shared" si="160"/>
        <v>1+2,71400774597444i</v>
      </c>
      <c r="R169" s="4">
        <f t="shared" si="171"/>
        <v>2.89237584784711</v>
      </c>
      <c r="S169" s="4">
        <f t="shared" si="172"/>
        <v>1.21777271536916</v>
      </c>
      <c r="T169" s="4" t="str">
        <f t="shared" si="161"/>
        <v>1+0,0318805589200387i</v>
      </c>
      <c r="U169" s="4">
        <f t="shared" si="173"/>
        <v>1.0005080559581</v>
      </c>
      <c r="V169" s="4">
        <f t="shared" si="174"/>
        <v>0.0318697646868853</v>
      </c>
      <c r="W169" t="str">
        <f t="shared" si="162"/>
        <v>1-0,0151360363353358i</v>
      </c>
      <c r="X169" s="4">
        <f t="shared" si="175"/>
        <v>1.0001145432379</v>
      </c>
      <c r="Y169" s="4">
        <f t="shared" si="176"/>
        <v>-0.0151348806075948</v>
      </c>
      <c r="Z169" t="str">
        <f t="shared" si="163"/>
        <v>0,999999145201185+0,0259460458009376i</v>
      </c>
      <c r="AA169" s="4">
        <f t="shared" si="177"/>
        <v>1.00033568750485</v>
      </c>
      <c r="AB169" s="4">
        <f t="shared" si="178"/>
        <v>0.0259402480460133</v>
      </c>
      <c r="AC169" s="67" t="str">
        <f t="shared" si="179"/>
        <v>11,1980021698969-31,2759518230177i</v>
      </c>
      <c r="AD169" s="68">
        <f t="shared" si="180"/>
        <v>30.4280398455934</v>
      </c>
      <c r="AE169" s="31">
        <f t="shared" si="181"/>
        <v>-70.3006655010143</v>
      </c>
      <c r="AF169" s="32" t="str">
        <f t="shared" si="182"/>
        <v>236,914774604583</v>
      </c>
      <c r="AG169" s="32" t="str">
        <f t="shared" si="164"/>
        <v>1+0,670216295478085i</v>
      </c>
      <c r="AH169" s="32">
        <f t="shared" si="183"/>
        <v>1.20382302799222</v>
      </c>
      <c r="AI169" s="32">
        <f t="shared" si="184"/>
        <v>0.590456014548678</v>
      </c>
      <c r="AJ169" s="32" t="str">
        <f t="shared" si="165"/>
        <v>1+0,0318805589200387i</v>
      </c>
      <c r="AK169" s="32">
        <f t="shared" si="185"/>
        <v>1.0005080559581</v>
      </c>
      <c r="AL169" s="32">
        <f t="shared" si="186"/>
        <v>0.0318697646868853</v>
      </c>
      <c r="AM169" s="32" t="str">
        <f t="shared" si="166"/>
        <v>1-0,00151545699204706i</v>
      </c>
      <c r="AN169" s="32">
        <f t="shared" si="187"/>
        <v>1.00000114830429</v>
      </c>
      <c r="AO169" s="32">
        <f t="shared" si="188"/>
        <v>-0.00151545583191082</v>
      </c>
      <c r="AP169" s="30" t="str">
        <f t="shared" si="189"/>
        <v>166,815764013973-104,608702105676i</v>
      </c>
      <c r="AQ169" s="32">
        <f t="shared" si="190"/>
        <v>45.8850117425976</v>
      </c>
      <c r="AR169" s="31">
        <f t="shared" si="191"/>
        <v>-32.0914638343277</v>
      </c>
      <c r="AS169" t="str">
        <f t="shared" si="167"/>
        <v>-0,000272527472527473</v>
      </c>
      <c r="AT169" t="str">
        <f t="shared" si="168"/>
        <v>0,000456859795238054i</v>
      </c>
      <c r="AU169">
        <f t="shared" si="192"/>
        <v>0.000456859795238054</v>
      </c>
      <c r="AV169">
        <f t="shared" si="193"/>
        <v>1.5707963267949</v>
      </c>
      <c r="AW169" t="str">
        <f t="shared" si="169"/>
        <v>1+0,0233903835523044i</v>
      </c>
      <c r="AX169">
        <f t="shared" si="194"/>
        <v>1.00027351761542</v>
      </c>
      <c r="AY169">
        <f t="shared" si="195"/>
        <v>0.0233861192474618</v>
      </c>
      <c r="AZ169" t="str">
        <f t="shared" si="170"/>
        <v>1+1,11825940089421i</v>
      </c>
      <c r="BA169">
        <f t="shared" si="196"/>
        <v>1.50016801981921</v>
      </c>
      <c r="BB169">
        <f t="shared" si="197"/>
        <v>0.841168842522766</v>
      </c>
      <c r="BC169" s="30" t="str">
        <f t="shared" si="198"/>
        <v>-0,652757652768823+0,611791463949031i</v>
      </c>
      <c r="BD169" s="32">
        <f t="shared" si="199"/>
        <v>-0.967030403387998</v>
      </c>
      <c r="BE169" s="31">
        <f t="shared" si="200"/>
        <v>136.85549860239</v>
      </c>
      <c r="BF169" s="30" t="str">
        <f t="shared" si="201"/>
        <v>11,8247787400813+27,2664590409295i</v>
      </c>
      <c r="BG169" s="68">
        <f t="shared" si="202"/>
        <v>29.4610094422054</v>
      </c>
      <c r="BH169" s="31">
        <f t="shared" si="203"/>
        <v>66.5548331013755</v>
      </c>
      <c r="BI169" s="30" t="str">
        <f t="shared" si="156"/>
        <v>-44,8915555595593+170,340591321579i</v>
      </c>
      <c r="BJ169" s="68">
        <f t="shared" si="204"/>
        <v>44.9179813392096</v>
      </c>
      <c r="BK169" s="31">
        <f t="shared" si="157"/>
        <v>104.764034768062</v>
      </c>
      <c r="BL169" s="32">
        <f t="shared" si="205"/>
        <v>29.4610094422054</v>
      </c>
      <c r="BM169" s="31">
        <f t="shared" si="206"/>
        <v>66.5548331013755</v>
      </c>
      <c r="BO169">
        <f t="shared" si="207"/>
        <v>0</v>
      </c>
      <c r="BP169">
        <f t="shared" si="208"/>
        <v>0</v>
      </c>
    </row>
    <row r="170" spans="14:68">
      <c r="N170" s="7">
        <v>52</v>
      </c>
      <c r="O170" s="18">
        <f t="shared" si="158"/>
        <v>331.131121482591</v>
      </c>
      <c r="P170" s="86" t="str">
        <f t="shared" si="159"/>
        <v>96,0576923076923</v>
      </c>
      <c r="Q170" s="4" t="str">
        <f t="shared" si="160"/>
        <v>1+2,77722510745133i</v>
      </c>
      <c r="R170" s="4">
        <f t="shared" si="171"/>
        <v>2.95177561773554</v>
      </c>
      <c r="S170" s="4">
        <f t="shared" si="172"/>
        <v>1.22517732669101</v>
      </c>
      <c r="T170" s="4" t="str">
        <f t="shared" si="161"/>
        <v>1+0,0326231525328692i</v>
      </c>
      <c r="U170" s="4">
        <f t="shared" si="173"/>
        <v>1.00053199353203</v>
      </c>
      <c r="V170" s="4">
        <f t="shared" si="174"/>
        <v>0.0326115866357828</v>
      </c>
      <c r="W170" t="str">
        <f t="shared" si="162"/>
        <v>1-0,015488599912856i</v>
      </c>
      <c r="X170" s="4">
        <f t="shared" si="175"/>
        <v>1.00011994117069</v>
      </c>
      <c r="Y170" s="4">
        <f t="shared" si="176"/>
        <v>-0.015487361536291</v>
      </c>
      <c r="Z170" t="str">
        <f t="shared" si="163"/>
        <v>0,999999104915758+0,0265504068454949i</v>
      </c>
      <c r="AA170" s="4">
        <f t="shared" si="177"/>
        <v>1.00035150519004</v>
      </c>
      <c r="AB170" s="4">
        <f t="shared" si="178"/>
        <v>0.0265441945570576</v>
      </c>
      <c r="AC170" s="67" t="str">
        <f t="shared" si="179"/>
        <v>10,7389862254023-30,7297011242483i</v>
      </c>
      <c r="AD170" s="68">
        <f t="shared" si="180"/>
        <v>30.2515849001765</v>
      </c>
      <c r="AE170" s="31">
        <f t="shared" si="181"/>
        <v>-70.7372144675766</v>
      </c>
      <c r="AF170" s="32" t="str">
        <f t="shared" si="182"/>
        <v>236,914774604583</v>
      </c>
      <c r="AG170" s="32" t="str">
        <f t="shared" si="164"/>
        <v>1+0,68582763847509i</v>
      </c>
      <c r="AH170" s="32">
        <f t="shared" si="183"/>
        <v>1.21258383202825</v>
      </c>
      <c r="AI170" s="32">
        <f t="shared" si="184"/>
        <v>0.601150850439403</v>
      </c>
      <c r="AJ170" s="32" t="str">
        <f t="shared" si="165"/>
        <v>1+0,0326231525328692i</v>
      </c>
      <c r="AK170" s="32">
        <f t="shared" si="185"/>
        <v>1.00053199353203</v>
      </c>
      <c r="AL170" s="32">
        <f t="shared" si="186"/>
        <v>0.0326115866357828</v>
      </c>
      <c r="AM170" s="32" t="str">
        <f t="shared" si="166"/>
        <v>1-0,00155075652006463i</v>
      </c>
      <c r="AN170" s="32">
        <f t="shared" si="187"/>
        <v>1.00000120242217</v>
      </c>
      <c r="AO170" s="32">
        <f t="shared" si="188"/>
        <v>-0.00155075527695633</v>
      </c>
      <c r="AP170" s="30" t="str">
        <f t="shared" si="189"/>
        <v>164,568922695724-105,504405921i</v>
      </c>
      <c r="AQ170" s="32">
        <f t="shared" si="190"/>
        <v>45.8222374923615</v>
      </c>
      <c r="AR170" s="31">
        <f t="shared" si="191"/>
        <v>-32.6637520358496</v>
      </c>
      <c r="AS170" t="str">
        <f t="shared" si="167"/>
        <v>-0,000272527472527473</v>
      </c>
      <c r="AT170" t="str">
        <f t="shared" si="168"/>
        <v>0,000467501426921921i</v>
      </c>
      <c r="AU170">
        <f t="shared" si="192"/>
        <v>0.000467501426921921</v>
      </c>
      <c r="AV170">
        <f t="shared" si="193"/>
        <v>1.5707963267949</v>
      </c>
      <c r="AW170" t="str">
        <f t="shared" si="169"/>
        <v>1+0,0239352155758321i</v>
      </c>
      <c r="AX170">
        <f t="shared" si="194"/>
        <v>1.00028640625806</v>
      </c>
      <c r="AY170">
        <f t="shared" si="195"/>
        <v>0.0239306463615265</v>
      </c>
      <c r="AZ170" t="str">
        <f t="shared" si="170"/>
        <v>1+1,14430700848712i</v>
      </c>
      <c r="BA170">
        <f t="shared" si="196"/>
        <v>1.51968369395501</v>
      </c>
      <c r="BB170">
        <f t="shared" si="197"/>
        <v>0.852594578476312</v>
      </c>
      <c r="BC170" s="30" t="str">
        <f t="shared" si="198"/>
        <v>-0,652740831374747+0,598568178526771i</v>
      </c>
      <c r="BD170" s="32">
        <f t="shared" si="199"/>
        <v>-1.05487631121592</v>
      </c>
      <c r="BE170" s="31">
        <f t="shared" si="200"/>
        <v>137.478945944893</v>
      </c>
      <c r="BF170" s="30" t="str">
        <f t="shared" si="201"/>
        <v>11,3840464317223+26,4865460839025i</v>
      </c>
      <c r="BG170" s="68">
        <f t="shared" si="202"/>
        <v>29.1967085889606</v>
      </c>
      <c r="BH170" s="31">
        <f t="shared" si="203"/>
        <v>66.741731477316</v>
      </c>
      <c r="BI170" s="30" t="str">
        <f t="shared" si="156"/>
        <v>-44,2692753401713+167,372753934665i</v>
      </c>
      <c r="BJ170" s="68">
        <f t="shared" si="204"/>
        <v>44.7673611811456</v>
      </c>
      <c r="BK170" s="31">
        <f t="shared" si="157"/>
        <v>104.815193909043</v>
      </c>
      <c r="BL170" s="32">
        <f t="shared" si="205"/>
        <v>29.1967085889606</v>
      </c>
      <c r="BM170" s="31">
        <f t="shared" si="206"/>
        <v>66.741731477316</v>
      </c>
      <c r="BO170">
        <f t="shared" si="207"/>
        <v>0</v>
      </c>
      <c r="BP170">
        <f t="shared" si="208"/>
        <v>0</v>
      </c>
    </row>
    <row r="171" spans="14:68">
      <c r="N171" s="7">
        <v>53</v>
      </c>
      <c r="O171" s="18">
        <f t="shared" si="158"/>
        <v>338.844156139203</v>
      </c>
      <c r="P171" s="86" t="str">
        <f t="shared" si="159"/>
        <v>96,0576923076923</v>
      </c>
      <c r="Q171" s="4" t="str">
        <f t="shared" si="160"/>
        <v>1+2,84191499044113i</v>
      </c>
      <c r="R171" s="4">
        <f t="shared" si="171"/>
        <v>3.01271983644248</v>
      </c>
      <c r="S171" s="4">
        <f t="shared" si="172"/>
        <v>1.2324517422646</v>
      </c>
      <c r="T171" s="4" t="str">
        <f t="shared" si="161"/>
        <v>1+0,0333830433729914i</v>
      </c>
      <c r="U171" s="4">
        <f t="shared" si="173"/>
        <v>1.00055705863526</v>
      </c>
      <c r="V171" s="4">
        <f t="shared" si="174"/>
        <v>0.0333706506636026</v>
      </c>
      <c r="W171" t="str">
        <f t="shared" si="162"/>
        <v>1-0,0158493757510659i</v>
      </c>
      <c r="X171" s="4">
        <f t="shared" si="175"/>
        <v>1.00012559346899</v>
      </c>
      <c r="Y171" s="4">
        <f t="shared" si="176"/>
        <v>-0.0158480488156689</v>
      </c>
      <c r="Z171" t="str">
        <f t="shared" si="163"/>
        <v>0,999999062731738+0,0271688452671981i</v>
      </c>
      <c r="AA171" s="4">
        <f t="shared" si="177"/>
        <v>1.0003680680717</v>
      </c>
      <c r="AB171" s="4">
        <f t="shared" si="178"/>
        <v>0.0271621888124777</v>
      </c>
      <c r="AC171" s="67" t="str">
        <f t="shared" si="179"/>
        <v>10,2959690244597-30,1865020943735i</v>
      </c>
      <c r="AD171" s="68">
        <f t="shared" si="180"/>
        <v>30.0741996540882</v>
      </c>
      <c r="AE171" s="31">
        <f t="shared" si="181"/>
        <v>-71.1665909346243</v>
      </c>
      <c r="AF171" s="32" t="str">
        <f t="shared" si="182"/>
        <v>236,914774604583</v>
      </c>
      <c r="AG171" s="32" t="str">
        <f t="shared" si="164"/>
        <v>1+0,701802616364022i</v>
      </c>
      <c r="AH171" s="32">
        <f t="shared" si="183"/>
        <v>1.22169018672304</v>
      </c>
      <c r="AI171" s="32">
        <f t="shared" si="184"/>
        <v>0.611934749760113</v>
      </c>
      <c r="AJ171" s="32" t="str">
        <f t="shared" si="165"/>
        <v>1+0,0333830433729914i</v>
      </c>
      <c r="AK171" s="32">
        <f t="shared" si="185"/>
        <v>1.00055705863526</v>
      </c>
      <c r="AL171" s="32">
        <f t="shared" si="186"/>
        <v>0.0333706506636026</v>
      </c>
      <c r="AM171" s="32" t="str">
        <f t="shared" si="166"/>
        <v>1-0,00158687827971583i</v>
      </c>
      <c r="AN171" s="32">
        <f t="shared" si="187"/>
        <v>1.00000125909054</v>
      </c>
      <c r="AO171" s="32">
        <f t="shared" si="188"/>
        <v>-0.00158687694770138</v>
      </c>
      <c r="AP171" s="30" t="str">
        <f t="shared" si="189"/>
        <v>162,284504954382-106,358708885962i</v>
      </c>
      <c r="AQ171" s="32">
        <f t="shared" si="190"/>
        <v>45.7574693363048</v>
      </c>
      <c r="AR171" s="31">
        <f t="shared" si="191"/>
        <v>-33.2402024077287</v>
      </c>
      <c r="AS171" t="str">
        <f t="shared" si="167"/>
        <v>-0,000272527472527473</v>
      </c>
      <c r="AT171" t="str">
        <f t="shared" si="168"/>
        <v>0,000478390934050456i</v>
      </c>
      <c r="AU171">
        <f t="shared" si="192"/>
        <v>0.000478390934050456</v>
      </c>
      <c r="AV171">
        <f t="shared" si="193"/>
        <v>1.5707963267949</v>
      </c>
      <c r="AW171" t="str">
        <f t="shared" si="169"/>
        <v>1+0,0244927383674783i</v>
      </c>
      <c r="AX171">
        <f t="shared" si="194"/>
        <v>1.00029990214572</v>
      </c>
      <c r="AY171">
        <f t="shared" si="195"/>
        <v>0.0244878424454152</v>
      </c>
      <c r="AZ171" t="str">
        <f t="shared" si="170"/>
        <v>1+1,17096134280263i</v>
      </c>
      <c r="BA171">
        <f t="shared" si="196"/>
        <v>1.53985404059545</v>
      </c>
      <c r="BB171">
        <f t="shared" si="197"/>
        <v>0.863985122616545</v>
      </c>
      <c r="BC171" s="30" t="str">
        <f t="shared" si="198"/>
        <v>-0,652723218141985+0,585662223938306i</v>
      </c>
      <c r="BD171" s="32">
        <f t="shared" si="199"/>
        <v>-1.14046643262956</v>
      </c>
      <c r="BE171" s="31">
        <f t="shared" si="200"/>
        <v>138.099651066517</v>
      </c>
      <c r="BF171" s="30" t="str">
        <f t="shared" si="201"/>
        <v>10,9586759139736+25,7333909079542i</v>
      </c>
      <c r="BG171" s="68">
        <f t="shared" si="202"/>
        <v>28.9337332214587</v>
      </c>
      <c r="BH171" s="31">
        <f t="shared" si="203"/>
        <v>66.933060131893</v>
      </c>
      <c r="BI171" s="30" t="str">
        <f t="shared" si="156"/>
        <v>-43,6365863470437+164,466702823782i</v>
      </c>
      <c r="BJ171" s="68">
        <f t="shared" si="204"/>
        <v>44.6170029036752</v>
      </c>
      <c r="BK171" s="31">
        <f t="shared" si="157"/>
        <v>104.859448658789</v>
      </c>
      <c r="BL171" s="32">
        <f t="shared" si="205"/>
        <v>28.9337332214587</v>
      </c>
      <c r="BM171" s="31">
        <f t="shared" si="206"/>
        <v>66.933060131893</v>
      </c>
      <c r="BO171">
        <f t="shared" si="207"/>
        <v>0</v>
      </c>
      <c r="BP171">
        <f t="shared" si="208"/>
        <v>0</v>
      </c>
    </row>
    <row r="172" spans="14:68">
      <c r="N172" s="7">
        <v>54</v>
      </c>
      <c r="O172" s="18">
        <f t="shared" si="158"/>
        <v>346.736850452532</v>
      </c>
      <c r="P172" s="86" t="str">
        <f t="shared" si="159"/>
        <v>96,0576923076923</v>
      </c>
      <c r="Q172" s="4" t="str">
        <f t="shared" si="160"/>
        <v>1+2,90811169437602i</v>
      </c>
      <c r="R172" s="4">
        <f t="shared" si="171"/>
        <v>3.07524204363926</v>
      </c>
      <c r="S172" s="4">
        <f t="shared" si="172"/>
        <v>1.23959673859837</v>
      </c>
      <c r="T172" s="4" t="str">
        <f t="shared" si="161"/>
        <v>1+0,0341606343445864i</v>
      </c>
      <c r="U172" s="4">
        <f t="shared" si="173"/>
        <v>1.00058330434743</v>
      </c>
      <c r="V172" s="4">
        <f t="shared" si="174"/>
        <v>0.03414735573529</v>
      </c>
      <c r="W172" t="str">
        <f t="shared" si="162"/>
        <v>1-0,0162185551380902i</v>
      </c>
      <c r="X172" s="4">
        <f t="shared" si="175"/>
        <v>1.00013151211767</v>
      </c>
      <c r="Y172" s="4">
        <f t="shared" si="176"/>
        <v>-0.016217133311293</v>
      </c>
      <c r="Z172" t="str">
        <f t="shared" si="163"/>
        <v>0,999999018559645+0,0278016889702838i</v>
      </c>
      <c r="AA172" s="4">
        <f t="shared" si="177"/>
        <v>1.00038541124401</v>
      </c>
      <c r="AB172" s="4">
        <f t="shared" si="178"/>
        <v>0.0277945565989486</v>
      </c>
      <c r="AC172" s="67" t="str">
        <f t="shared" si="179"/>
        <v>9,86857386411129-29,6467569449566i</v>
      </c>
      <c r="AD172" s="68">
        <f t="shared" si="180"/>
        <v>29.895917177649</v>
      </c>
      <c r="AE172" s="31">
        <f t="shared" si="181"/>
        <v>-71.5888461357996</v>
      </c>
      <c r="AF172" s="32" t="str">
        <f t="shared" si="182"/>
        <v>236,914774604583</v>
      </c>
      <c r="AG172" s="32" t="str">
        <f t="shared" si="164"/>
        <v>1+0,718149699289599i</v>
      </c>
      <c r="AH172" s="32">
        <f t="shared" si="183"/>
        <v>1.23115352031732</v>
      </c>
      <c r="AI172" s="32">
        <f t="shared" si="184"/>
        <v>0.622803397656763</v>
      </c>
      <c r="AJ172" s="32" t="str">
        <f t="shared" si="165"/>
        <v>1+0,0341606343445864i</v>
      </c>
      <c r="AK172" s="32">
        <f t="shared" si="185"/>
        <v>1.00058330434743</v>
      </c>
      <c r="AL172" s="32">
        <f t="shared" si="186"/>
        <v>0.03414735573529</v>
      </c>
      <c r="AM172" s="32" t="str">
        <f t="shared" si="166"/>
        <v>1-0,00162384142323574i</v>
      </c>
      <c r="AN172" s="32">
        <f t="shared" si="187"/>
        <v>1.00000131842961</v>
      </c>
      <c r="AO172" s="32">
        <f t="shared" si="188"/>
        <v>-0.00162383999595664</v>
      </c>
      <c r="AP172" s="30" t="str">
        <f t="shared" si="189"/>
        <v>159,964041951782-107,169681663503i</v>
      </c>
      <c r="AQ172" s="32">
        <f t="shared" si="190"/>
        <v>45.6906751725578</v>
      </c>
      <c r="AR172" s="31">
        <f t="shared" si="191"/>
        <v>-33.8205459653492</v>
      </c>
      <c r="AS172" t="str">
        <f t="shared" si="167"/>
        <v>-0,000272527472527473</v>
      </c>
      <c r="AT172" t="str">
        <f t="shared" si="168"/>
        <v>0,000489534090384475i</v>
      </c>
      <c r="AU172">
        <f t="shared" si="192"/>
        <v>0.000489534090384475</v>
      </c>
      <c r="AV172">
        <f t="shared" si="193"/>
        <v>1.5707963267949</v>
      </c>
      <c r="AW172" t="str">
        <f t="shared" si="169"/>
        <v>1+0,0250632475332064i</v>
      </c>
      <c r="AX172">
        <f t="shared" si="194"/>
        <v>1.00031403387982</v>
      </c>
      <c r="AY172">
        <f t="shared" si="195"/>
        <v>0.0250580015471436</v>
      </c>
      <c r="AZ172" t="str">
        <f t="shared" si="170"/>
        <v>1+1,19823653632159i</v>
      </c>
      <c r="BA172">
        <f t="shared" si="196"/>
        <v>1.56069561317252</v>
      </c>
      <c r="BB172">
        <f t="shared" si="197"/>
        <v>0.875334692356383</v>
      </c>
      <c r="BC172" s="30" t="str">
        <f t="shared" si="198"/>
        <v>-0,652704775841887+0,573066754565722i</v>
      </c>
      <c r="BD172" s="32">
        <f t="shared" si="199"/>
        <v>-1.22381608777505</v>
      </c>
      <c r="BE172" s="31">
        <f t="shared" si="200"/>
        <v>138.717265801719</v>
      </c>
      <c r="BF172" s="30" t="str">
        <f t="shared" si="201"/>
        <v>10,5483054939912+25,0059314426952i</v>
      </c>
      <c r="BG172" s="68">
        <f t="shared" si="202"/>
        <v>28.672101089874</v>
      </c>
      <c r="BH172" s="31">
        <f t="shared" si="203"/>
        <v>67.1284196659198</v>
      </c>
      <c r="BI172" s="30" t="str">
        <f t="shared" si="156"/>
        <v>-42,9939124861549+161,620237415746i</v>
      </c>
      <c r="BJ172" s="68">
        <f t="shared" si="204"/>
        <v>44.4668590847828</v>
      </c>
      <c r="BK172" s="31">
        <f t="shared" si="157"/>
        <v>104.89671983637</v>
      </c>
      <c r="BL172" s="32">
        <f t="shared" si="205"/>
        <v>28.672101089874</v>
      </c>
      <c r="BM172" s="31">
        <f t="shared" si="206"/>
        <v>67.1284196659198</v>
      </c>
      <c r="BO172">
        <f t="shared" si="207"/>
        <v>0</v>
      </c>
      <c r="BP172">
        <f t="shared" si="208"/>
        <v>0</v>
      </c>
    </row>
    <row r="173" spans="14:68">
      <c r="N173" s="7">
        <v>55</v>
      </c>
      <c r="O173" s="18">
        <f t="shared" si="158"/>
        <v>354.813389233576</v>
      </c>
      <c r="P173" s="86" t="str">
        <f t="shared" si="159"/>
        <v>96,0576923076923</v>
      </c>
      <c r="Q173" s="4" t="str">
        <f t="shared" si="160"/>
        <v>1+2,9758503176247i</v>
      </c>
      <c r="R173" s="4">
        <f t="shared" si="171"/>
        <v>3.13937654844191</v>
      </c>
      <c r="S173" s="4">
        <f t="shared" si="172"/>
        <v>1.24661318506077</v>
      </c>
      <c r="T173" s="4" t="str">
        <f t="shared" si="161"/>
        <v>1+0,0349563377366807i</v>
      </c>
      <c r="U173" s="4">
        <f t="shared" si="173"/>
        <v>1.00061078624406</v>
      </c>
      <c r="V173" s="4">
        <f t="shared" si="174"/>
        <v>0.0349421099195054</v>
      </c>
      <c r="W173" t="str">
        <f t="shared" si="162"/>
        <v>1-0,0165963338177268i</v>
      </c>
      <c r="X173" s="4">
        <f t="shared" si="175"/>
        <v>1.00013770966612</v>
      </c>
      <c r="Y173" s="4">
        <f t="shared" si="176"/>
        <v>-0.0165948103141944</v>
      </c>
      <c r="Z173" t="str">
        <f t="shared" si="163"/>
        <v>0,999998972305786+0,0284492734968607i</v>
      </c>
      <c r="AA173" s="4">
        <f t="shared" si="177"/>
        <v>1.0004035714526</v>
      </c>
      <c r="AB173" s="4">
        <f t="shared" si="178"/>
        <v>0.0284416311897843</v>
      </c>
      <c r="AC173" s="67" t="str">
        <f t="shared" si="179"/>
        <v>9,4564181778281-29,1108411614465i</v>
      </c>
      <c r="AD173" s="68">
        <f t="shared" si="180"/>
        <v>29.7167697653553</v>
      </c>
      <c r="AE173" s="31">
        <f t="shared" si="181"/>
        <v>-72.0040367861392</v>
      </c>
      <c r="AF173" s="32" t="str">
        <f t="shared" si="182"/>
        <v>236,914774604583</v>
      </c>
      <c r="AG173" s="32" t="str">
        <f t="shared" si="164"/>
        <v>1+0,734877554691581i</v>
      </c>
      <c r="AH173" s="32">
        <f t="shared" si="183"/>
        <v>1.24098550369836</v>
      </c>
      <c r="AI173" s="32">
        <f t="shared" si="184"/>
        <v>0.633752285907344</v>
      </c>
      <c r="AJ173" s="32" t="str">
        <f t="shared" si="165"/>
        <v>1+0,0349563377366807i</v>
      </c>
      <c r="AK173" s="32">
        <f t="shared" si="185"/>
        <v>1.00061078624406</v>
      </c>
      <c r="AL173" s="32">
        <f t="shared" si="186"/>
        <v>0.0349421099195054</v>
      </c>
      <c r="AM173" s="32" t="str">
        <f t="shared" si="166"/>
        <v>1-0,00166166554897235i</v>
      </c>
      <c r="AN173" s="32">
        <f t="shared" si="187"/>
        <v>1.00000138056525</v>
      </c>
      <c r="AO173" s="32">
        <f t="shared" si="188"/>
        <v>-0.00166166401961536</v>
      </c>
      <c r="AP173" s="30" t="str">
        <f t="shared" si="189"/>
        <v>157,609191117316-107,935457208327i</v>
      </c>
      <c r="AQ173" s="32">
        <f t="shared" si="190"/>
        <v>45.6218243309713</v>
      </c>
      <c r="AR173" s="31">
        <f t="shared" si="191"/>
        <v>-34.404502148882</v>
      </c>
      <c r="AS173" t="str">
        <f t="shared" si="167"/>
        <v>-0,000272527472527473</v>
      </c>
      <c r="AT173" t="str">
        <f t="shared" si="168"/>
        <v>0,000500936804172967i</v>
      </c>
      <c r="AU173">
        <f t="shared" si="192"/>
        <v>0.000500936804172967</v>
      </c>
      <c r="AV173">
        <f t="shared" si="193"/>
        <v>1.5707963267949</v>
      </c>
      <c r="AW173" t="str">
        <f t="shared" si="169"/>
        <v>1+0,0256470455645281i</v>
      </c>
      <c r="AX173">
        <f t="shared" si="194"/>
        <v>1.00032883140805</v>
      </c>
      <c r="AY173">
        <f t="shared" si="195"/>
        <v>0.0256414244889802</v>
      </c>
      <c r="AZ173" t="str">
        <f t="shared" si="170"/>
        <v>1+1,22614705071265i</v>
      </c>
      <c r="BA173">
        <f t="shared" si="196"/>
        <v>1.58222520204026</v>
      </c>
      <c r="BB173">
        <f t="shared" si="197"/>
        <v>0.886637610450136</v>
      </c>
      <c r="BC173" s="30" t="str">
        <f t="shared" si="198"/>
        <v>-0,652685465499916+0,560775089221053i</v>
      </c>
      <c r="BD173" s="32">
        <f t="shared" si="199"/>
        <v>-1.30494281380746</v>
      </c>
      <c r="BE173" s="31">
        <f t="shared" si="200"/>
        <v>139.331447632435</v>
      </c>
      <c r="BF173" s="30" t="str">
        <f t="shared" si="201"/>
        <v>10,1525678492525+24,303146661936i</v>
      </c>
      <c r="BG173" s="68">
        <f t="shared" si="202"/>
        <v>28.4118269515478</v>
      </c>
      <c r="BH173" s="31">
        <f t="shared" si="203"/>
        <v>67.327410846296</v>
      </c>
      <c r="BI173" s="30" t="str">
        <f t="shared" si="156"/>
        <v>-42,3417126253559+158,831212342834i</v>
      </c>
      <c r="BJ173" s="68">
        <f t="shared" si="204"/>
        <v>44.3168815171638</v>
      </c>
      <c r="BK173" s="31">
        <f t="shared" si="157"/>
        <v>104.926945483553</v>
      </c>
      <c r="BL173" s="32">
        <f t="shared" si="205"/>
        <v>28.4118269515478</v>
      </c>
      <c r="BM173" s="31">
        <f t="shared" si="206"/>
        <v>67.327410846296</v>
      </c>
      <c r="BO173">
        <f t="shared" si="207"/>
        <v>0</v>
      </c>
      <c r="BP173">
        <f t="shared" si="208"/>
        <v>0</v>
      </c>
    </row>
    <row r="174" spans="14:68">
      <c r="N174" s="7">
        <v>56</v>
      </c>
      <c r="O174" s="18">
        <f t="shared" si="158"/>
        <v>363.078054770102</v>
      </c>
      <c r="P174" s="86" t="str">
        <f t="shared" si="159"/>
        <v>96,0576923076923</v>
      </c>
      <c r="Q174" s="4" t="str">
        <f t="shared" si="160"/>
        <v>1+3,04516677610181i</v>
      </c>
      <c r="R174" s="4">
        <f t="shared" si="171"/>
        <v>3.20515845072818</v>
      </c>
      <c r="S174" s="4">
        <f t="shared" si="172"/>
        <v>1.25350203757116</v>
      </c>
      <c r="T174" s="4" t="str">
        <f t="shared" si="161"/>
        <v>1+0,0357705754417446i</v>
      </c>
      <c r="U174" s="4">
        <f t="shared" si="173"/>
        <v>1.00063956251361</v>
      </c>
      <c r="V174" s="4">
        <f t="shared" si="174"/>
        <v>0.0357553305871909</v>
      </c>
      <c r="W174" t="str">
        <f t="shared" si="162"/>
        <v>1-0,0169829120932319i</v>
      </c>
      <c r="X174" s="4">
        <f t="shared" si="175"/>
        <v>1.00014419925487</v>
      </c>
      <c r="Y174" s="4">
        <f t="shared" si="176"/>
        <v>-0.0169812796424969</v>
      </c>
      <c r="Z174" t="str">
        <f t="shared" si="163"/>
        <v>0,99999892387205+0,0291119422048161i</v>
      </c>
      <c r="AA174" s="4">
        <f t="shared" si="177"/>
        <v>1.00042258717214</v>
      </c>
      <c r="AB174" s="4">
        <f t="shared" si="178"/>
        <v>0.029103753512055</v>
      </c>
      <c r="AC174" s="67" t="str">
        <f t="shared" si="179"/>
        <v>9,0591150272152-28,5791041550474i</v>
      </c>
      <c r="AD174" s="68">
        <f t="shared" si="180"/>
        <v>29.5367889258475</v>
      </c>
      <c r="AE174" s="31">
        <f t="shared" si="181"/>
        <v>-72.4122247246117</v>
      </c>
      <c r="AF174" s="32" t="str">
        <f t="shared" si="182"/>
        <v>236,914774604583</v>
      </c>
      <c r="AG174" s="32" t="str">
        <f t="shared" si="164"/>
        <v>1+0,751995051900311i</v>
      </c>
      <c r="AH174" s="32">
        <f t="shared" si="183"/>
        <v>1.25119804910436</v>
      </c>
      <c r="AI174" s="32">
        <f t="shared" si="184"/>
        <v>0.644776719760096</v>
      </c>
      <c r="AJ174" s="32" t="str">
        <f t="shared" si="165"/>
        <v>1+0,0357705754417446i</v>
      </c>
      <c r="AK174" s="32">
        <f t="shared" si="185"/>
        <v>1.00063956251361</v>
      </c>
      <c r="AL174" s="32">
        <f t="shared" si="186"/>
        <v>0.0357553305871909</v>
      </c>
      <c r="AM174" s="32" t="str">
        <f t="shared" si="166"/>
        <v>1-0,00170037071177775i</v>
      </c>
      <c r="AN174" s="32">
        <f t="shared" si="187"/>
        <v>1.00000144562923</v>
      </c>
      <c r="AO174" s="32">
        <f t="shared" si="188"/>
        <v>-0.00170036907304234</v>
      </c>
      <c r="AP174" s="30" t="str">
        <f t="shared" si="189"/>
        <v>155,221733295842-108,654240511531i</v>
      </c>
      <c r="AQ174" s="32">
        <f t="shared" si="190"/>
        <v>45.5508876845933</v>
      </c>
      <c r="AR174" s="31">
        <f t="shared" si="191"/>
        <v>-34.9917792043018</v>
      </c>
      <c r="AS174" t="str">
        <f t="shared" si="167"/>
        <v>-0,000272527472527473</v>
      </c>
      <c r="AT174" t="str">
        <f t="shared" si="168"/>
        <v>0,000512605121285714i</v>
      </c>
      <c r="AU174">
        <f t="shared" si="192"/>
        <v>0.000512605121285714</v>
      </c>
      <c r="AV174">
        <f t="shared" si="193"/>
        <v>1.5707963267949</v>
      </c>
      <c r="AW174" t="str">
        <f t="shared" si="169"/>
        <v>1+0,0262444419988867i</v>
      </c>
      <c r="AX174">
        <f t="shared" si="194"/>
        <v>1.00034432608769</v>
      </c>
      <c r="AY174">
        <f t="shared" si="195"/>
        <v>0.0262384190198861</v>
      </c>
      <c r="AZ174" t="str">
        <f t="shared" si="170"/>
        <v>1+1,25470768449997i</v>
      </c>
      <c r="BA174">
        <f t="shared" si="196"/>
        <v>1.60445983855729</v>
      </c>
      <c r="BB174">
        <f t="shared" si="197"/>
        <v>0.897888318477585</v>
      </c>
      <c r="BC174" s="30" t="str">
        <f t="shared" si="198"/>
        <v>-0,652665246314167+0,548780707590059i</v>
      </c>
      <c r="BD174" s="32">
        <f t="shared" si="199"/>
        <v>-1.38386629533697</v>
      </c>
      <c r="BE174" s="31">
        <f t="shared" si="200"/>
        <v>139.941860451929</v>
      </c>
      <c r="BF174" s="30" t="str">
        <f t="shared" si="201"/>
        <v>9,77109145987113+23,6240556075671i</v>
      </c>
      <c r="BG174" s="68">
        <f t="shared" si="202"/>
        <v>28.1529226305105</v>
      </c>
      <c r="BH174" s="31">
        <f t="shared" si="203"/>
        <v>67.529635727317</v>
      </c>
      <c r="BI174" s="30" t="str">
        <f t="shared" si="156"/>
        <v>-41,6804798042642+156,097539277985i</v>
      </c>
      <c r="BJ174" s="68">
        <f t="shared" si="204"/>
        <v>44.1670213892564</v>
      </c>
      <c r="BK174" s="31">
        <f t="shared" si="157"/>
        <v>104.950081247627</v>
      </c>
      <c r="BL174" s="32">
        <f t="shared" si="205"/>
        <v>28.1529226305105</v>
      </c>
      <c r="BM174" s="31">
        <f t="shared" si="206"/>
        <v>67.529635727317</v>
      </c>
      <c r="BO174">
        <f t="shared" si="207"/>
        <v>0</v>
      </c>
      <c r="BP174">
        <f t="shared" si="208"/>
        <v>0</v>
      </c>
    </row>
    <row r="175" spans="14:68">
      <c r="N175" s="7">
        <v>57</v>
      </c>
      <c r="O175" s="18">
        <f t="shared" si="158"/>
        <v>371.535229097173</v>
      </c>
      <c r="P175" s="86" t="str">
        <f t="shared" si="159"/>
        <v>96,0576923076923</v>
      </c>
      <c r="Q175" s="4" t="str">
        <f t="shared" si="160"/>
        <v>1+3,11609782231116i</v>
      </c>
      <c r="R175" s="4">
        <f t="shared" si="171"/>
        <v>3.27262366278378</v>
      </c>
      <c r="S175" s="4">
        <f t="shared" si="172"/>
        <v>1.26026433245378</v>
      </c>
      <c r="T175" s="4" t="str">
        <f t="shared" si="161"/>
        <v>1+0,0366037791793872i</v>
      </c>
      <c r="U175" s="4">
        <f t="shared" si="173"/>
        <v>1.00066969408003</v>
      </c>
      <c r="V175" s="4">
        <f t="shared" si="174"/>
        <v>0.0365874446138073</v>
      </c>
      <c r="W175" t="str">
        <f t="shared" si="162"/>
        <v>1-0,0173784949335243i</v>
      </c>
      <c r="X175" s="4">
        <f t="shared" si="175"/>
        <v>1.00015099464339</v>
      </c>
      <c r="Y175" s="4">
        <f t="shared" si="176"/>
        <v>-0.0173767457453093</v>
      </c>
      <c r="Z175" t="str">
        <f t="shared" si="163"/>
        <v>0,999998873155702+0,0297900464498706i</v>
      </c>
      <c r="AA175" s="4">
        <f t="shared" si="177"/>
        <v>1.00044249868754</v>
      </c>
      <c r="AB175" s="4">
        <f t="shared" si="178"/>
        <v>0.0297812723170826</v>
      </c>
      <c r="AC175" s="67" t="str">
        <f t="shared" si="179"/>
        <v>8,67627449419212-28,0518699738052i</v>
      </c>
      <c r="AD175" s="68">
        <f t="shared" si="180"/>
        <v>29.3560053748963</v>
      </c>
      <c r="AE175" s="31">
        <f t="shared" si="181"/>
        <v>-72.8134765661106</v>
      </c>
      <c r="AF175" s="32" t="str">
        <f t="shared" si="182"/>
        <v>236,914774604583</v>
      </c>
      <c r="AG175" s="32" t="str">
        <f t="shared" si="164"/>
        <v>1+0,76951126683939i</v>
      </c>
      <c r="AH175" s="32">
        <f t="shared" si="183"/>
        <v>1.2618033086788</v>
      </c>
      <c r="AI175" s="32">
        <f t="shared" si="184"/>
        <v>0.655871825759401</v>
      </c>
      <c r="AJ175" s="32" t="str">
        <f t="shared" si="165"/>
        <v>1+0,0366037791793872i</v>
      </c>
      <c r="AK175" s="32">
        <f t="shared" si="185"/>
        <v>1.00066969408003</v>
      </c>
      <c r="AL175" s="32">
        <f t="shared" si="186"/>
        <v>0.0365874446138073</v>
      </c>
      <c r="AM175" s="32" t="str">
        <f t="shared" si="166"/>
        <v>1-0,00173997743364161i</v>
      </c>
      <c r="AN175" s="32">
        <f t="shared" si="187"/>
        <v>1.00000151375959</v>
      </c>
      <c r="AO175" s="32">
        <f t="shared" si="188"/>
        <v>-0.00173997567770512</v>
      </c>
      <c r="AP175" s="30" t="str">
        <f t="shared" si="189"/>
        <v>152,803569020479-109,324318242077i</v>
      </c>
      <c r="AQ175" s="32">
        <f t="shared" si="190"/>
        <v>45.4778377582852</v>
      </c>
      <c r="AR175" s="31">
        <f t="shared" si="191"/>
        <v>-35.5820746208016</v>
      </c>
      <c r="AS175" t="str">
        <f t="shared" si="167"/>
        <v>-0,000272527472527473</v>
      </c>
      <c r="AT175" t="str">
        <f t="shared" si="168"/>
        <v>0,000524545228418897i</v>
      </c>
      <c r="AU175">
        <f t="shared" si="192"/>
        <v>0.000524545228418897</v>
      </c>
      <c r="AV175">
        <f t="shared" si="193"/>
        <v>1.5707963267949</v>
      </c>
      <c r="AW175" t="str">
        <f t="shared" si="169"/>
        <v>1+0,0268557535837795i</v>
      </c>
      <c r="AX175">
        <f t="shared" si="194"/>
        <v>1.00036055075185</v>
      </c>
      <c r="AY175">
        <f t="shared" si="195"/>
        <v>0.0268492999711267</v>
      </c>
      <c r="AZ175" t="str">
        <f t="shared" si="170"/>
        <v>1+1,28393358090963i</v>
      </c>
      <c r="BA175">
        <f t="shared" si="196"/>
        <v>1.62741679977424</v>
      </c>
      <c r="BB175">
        <f t="shared" si="197"/>
        <v>0.909081389603956</v>
      </c>
      <c r="BC175" s="30" t="str">
        <f t="shared" si="198"/>
        <v>-0,652644075570172+0,537077246760296i</v>
      </c>
      <c r="BD175" s="32">
        <f t="shared" si="199"/>
        <v>-1.46060828721864</v>
      </c>
      <c r="BE175" s="31">
        <f t="shared" si="200"/>
        <v>140.548175286969</v>
      </c>
      <c r="BF175" s="30" t="str">
        <f t="shared" si="201"/>
        <v>9,40350194535404+22,967716364546i</v>
      </c>
      <c r="BG175" s="68">
        <f t="shared" si="202"/>
        <v>27.8953970876777</v>
      </c>
      <c r="BH175" s="31">
        <f t="shared" si="203"/>
        <v>67.7346987208579</v>
      </c>
      <c r="BI175" s="30" t="str">
        <f t="shared" si="156"/>
        <v>-41,0107402017924+153,417188761105i</v>
      </c>
      <c r="BJ175" s="68">
        <f t="shared" si="204"/>
        <v>44.0172294710665</v>
      </c>
      <c r="BK175" s="31">
        <f t="shared" si="157"/>
        <v>104.966100666167</v>
      </c>
      <c r="BL175" s="32">
        <f t="shared" si="205"/>
        <v>27.8953970876777</v>
      </c>
      <c r="BM175" s="31">
        <f t="shared" si="206"/>
        <v>67.7346987208579</v>
      </c>
      <c r="BO175">
        <f t="shared" si="207"/>
        <v>0</v>
      </c>
      <c r="BP175">
        <f t="shared" si="208"/>
        <v>0</v>
      </c>
    </row>
    <row r="176" spans="14:68">
      <c r="N176" s="7">
        <v>58</v>
      </c>
      <c r="O176" s="18">
        <f t="shared" si="158"/>
        <v>380.189396320562</v>
      </c>
      <c r="P176" s="86" t="str">
        <f t="shared" si="159"/>
        <v>96,0576923076923</v>
      </c>
      <c r="Q176" s="4" t="str">
        <f t="shared" si="160"/>
        <v>1+3,18868106483232i</v>
      </c>
      <c r="R176" s="4">
        <f t="shared" si="171"/>
        <v>3.3418089312856</v>
      </c>
      <c r="S176" s="4">
        <f t="shared" si="172"/>
        <v>1.26690118046772</v>
      </c>
      <c r="T176" s="4" t="str">
        <f t="shared" si="161"/>
        <v>1+0,0374563907252591i</v>
      </c>
      <c r="U176" s="4">
        <f t="shared" si="173"/>
        <v>1.000701244731</v>
      </c>
      <c r="V176" s="4">
        <f t="shared" si="174"/>
        <v>0.0374388885852565</v>
      </c>
      <c r="W176" t="str">
        <f t="shared" si="162"/>
        <v>1-0,017783292081862i</v>
      </c>
      <c r="X176" s="4">
        <f t="shared" si="175"/>
        <v>1.00015811023921</v>
      </c>
      <c r="Y176" s="4">
        <f t="shared" si="176"/>
        <v>-0.0177814178089234</v>
      </c>
      <c r="Z176" t="str">
        <f t="shared" si="163"/>
        <v>0,999998820049167+0,0304839457718707i</v>
      </c>
      <c r="AA176" s="4">
        <f t="shared" si="177"/>
        <v>1.00046334817901</v>
      </c>
      <c r="AB176" s="4">
        <f t="shared" si="178"/>
        <v>0.0304745443543519</v>
      </c>
      <c r="AC176" s="67" t="str">
        <f t="shared" si="179"/>
        <v>8,30750497460627-27,5294380633839i</v>
      </c>
      <c r="AD176" s="68">
        <f t="shared" si="180"/>
        <v>29.1744490312029</v>
      </c>
      <c r="AE176" s="31">
        <f t="shared" si="181"/>
        <v>-73.2078633636451</v>
      </c>
      <c r="AF176" s="32" t="str">
        <f t="shared" si="182"/>
        <v>236,914774604583</v>
      </c>
      <c r="AG176" s="32" t="str">
        <f t="shared" si="164"/>
        <v>1+0,787435486837833i</v>
      </c>
      <c r="AH176" s="32">
        <f t="shared" si="183"/>
        <v>1.27281367290406</v>
      </c>
      <c r="AI176" s="32">
        <f t="shared" si="184"/>
        <v>0.667032560544236</v>
      </c>
      <c r="AJ176" s="32" t="str">
        <f t="shared" si="165"/>
        <v>1+0,0374563907252591i</v>
      </c>
      <c r="AK176" s="32">
        <f t="shared" si="185"/>
        <v>1.000701244731</v>
      </c>
      <c r="AL176" s="32">
        <f t="shared" si="186"/>
        <v>0.0374388885852565</v>
      </c>
      <c r="AM176" s="32" t="str">
        <f t="shared" si="166"/>
        <v>1-0,00178050671457211i</v>
      </c>
      <c r="AN176" s="32">
        <f t="shared" si="187"/>
        <v>1.00000158510082</v>
      </c>
      <c r="AO176" s="32">
        <f t="shared" si="188"/>
        <v>-0.00178050483305242</v>
      </c>
      <c r="AP176" s="30" t="str">
        <f t="shared" si="189"/>
        <v>150,356713907323-109,944068195738i</v>
      </c>
      <c r="AQ176" s="32">
        <f t="shared" si="190"/>
        <v>45.4026488337006</v>
      </c>
      <c r="AR176" s="31">
        <f t="shared" si="191"/>
        <v>-36.17507562373</v>
      </c>
      <c r="AS176" t="str">
        <f t="shared" si="167"/>
        <v>-0,000272527472527473</v>
      </c>
      <c r="AT176" t="str">
        <f t="shared" si="168"/>
        <v>0,000536763456375365i</v>
      </c>
      <c r="AU176">
        <f t="shared" si="192"/>
        <v>0.000536763456375365</v>
      </c>
      <c r="AV176">
        <f t="shared" si="193"/>
        <v>1.5707963267949</v>
      </c>
      <c r="AW176" t="str">
        <f t="shared" si="169"/>
        <v>1+0,0274813044447003i</v>
      </c>
      <c r="AX176">
        <f t="shared" si="194"/>
        <v>1.00037753977885</v>
      </c>
      <c r="AY176">
        <f t="shared" si="195"/>
        <v>0.0274743894150971</v>
      </c>
      <c r="AZ176" t="str">
        <f t="shared" si="170"/>
        <v>1+1,31384023589876i</v>
      </c>
      <c r="BA176">
        <f t="shared" si="196"/>
        <v>1.65111361373665</v>
      </c>
      <c r="BB176">
        <f t="shared" si="197"/>
        <v>0.920211540550574</v>
      </c>
      <c r="BC176" s="30" t="str">
        <f t="shared" si="198"/>
        <v>-0,652621908551768+0,525658497831603i</v>
      </c>
      <c r="BD176" s="32">
        <f t="shared" si="199"/>
        <v>-1.5351925303348</v>
      </c>
      <c r="BE176" s="31">
        <f t="shared" si="200"/>
        <v>141.150070974596</v>
      </c>
      <c r="BF176" s="30" t="str">
        <f t="shared" si="201"/>
        <v>9,04942330671568+22,3332249959634i</v>
      </c>
      <c r="BG176" s="68">
        <f t="shared" si="202"/>
        <v>27.6392565008681</v>
      </c>
      <c r="BH176" s="31">
        <f t="shared" si="203"/>
        <v>67.9422076109506</v>
      </c>
      <c r="BI176" s="30" t="str">
        <f t="shared" si="156"/>
        <v>-40,3330518605023+150,788191991268i</v>
      </c>
      <c r="BJ176" s="68">
        <f t="shared" si="204"/>
        <v>43.8674563033658</v>
      </c>
      <c r="BK176" s="31">
        <f t="shared" si="157"/>
        <v>104.974995350866</v>
      </c>
      <c r="BL176" s="32">
        <f t="shared" si="205"/>
        <v>27.6392565008681</v>
      </c>
      <c r="BM176" s="31">
        <f t="shared" si="206"/>
        <v>67.9422076109506</v>
      </c>
      <c r="BO176">
        <f t="shared" si="207"/>
        <v>0</v>
      </c>
      <c r="BP176">
        <f t="shared" si="208"/>
        <v>0</v>
      </c>
    </row>
    <row r="177" spans="14:68">
      <c r="N177" s="7">
        <v>59</v>
      </c>
      <c r="O177" s="18">
        <f t="shared" si="158"/>
        <v>389.045144994281</v>
      </c>
      <c r="P177" s="86" t="str">
        <f t="shared" si="159"/>
        <v>96,0576923076923</v>
      </c>
      <c r="Q177" s="4" t="str">
        <f t="shared" si="160"/>
        <v>1+3,26295498826125i</v>
      </c>
      <c r="R177" s="4">
        <f t="shared" si="171"/>
        <v>3.4127518596316</v>
      </c>
      <c r="S177" s="4">
        <f t="shared" si="172"/>
        <v>1.27341376102362</v>
      </c>
      <c r="T177" s="4" t="str">
        <f t="shared" si="161"/>
        <v>1+0,0383288621452875i</v>
      </c>
      <c r="U177" s="4">
        <f t="shared" si="173"/>
        <v>1.0007342812522</v>
      </c>
      <c r="V177" s="4">
        <f t="shared" si="174"/>
        <v>0.0383101090075021</v>
      </c>
      <c r="W177" t="str">
        <f t="shared" si="162"/>
        <v>1-0,0181975181670512i</v>
      </c>
      <c r="X177" s="4">
        <f t="shared" si="175"/>
        <v>1.00016556112848</v>
      </c>
      <c r="Y177" s="4">
        <f t="shared" si="176"/>
        <v>-0.0181955098653687</v>
      </c>
      <c r="Z177" t="str">
        <f t="shared" si="163"/>
        <v>0,999998764439797+0,0311940080854219i</v>
      </c>
      <c r="AA177" s="4">
        <f t="shared" si="177"/>
        <v>1.00048517981105</v>
      </c>
      <c r="AB177" s="4">
        <f t="shared" si="178"/>
        <v>0.0311839345488808</v>
      </c>
      <c r="AC177" s="67" t="str">
        <f t="shared" si="179"/>
        <v>7,95241437488959-27,0120840686081i</v>
      </c>
      <c r="AD177" s="68">
        <f t="shared" si="180"/>
        <v>28.9921490148113</v>
      </c>
      <c r="AE177" s="31">
        <f t="shared" si="181"/>
        <v>-73.5954602813557</v>
      </c>
      <c r="AF177" s="32" t="str">
        <f t="shared" si="182"/>
        <v>236,914774604583</v>
      </c>
      <c r="AG177" s="32" t="str">
        <f t="shared" si="164"/>
        <v>1+0,805777215554339i</v>
      </c>
      <c r="AH177" s="32">
        <f t="shared" si="183"/>
        <v>1.28424176894637</v>
      </c>
      <c r="AI177" s="32">
        <f t="shared" si="184"/>
        <v>0.678253720595002</v>
      </c>
      <c r="AJ177" s="32" t="str">
        <f t="shared" si="165"/>
        <v>1+0,0383288621452875i</v>
      </c>
      <c r="AK177" s="32">
        <f t="shared" si="185"/>
        <v>1.0007342812522</v>
      </c>
      <c r="AL177" s="32">
        <f t="shared" si="186"/>
        <v>0.0383101090075021</v>
      </c>
      <c r="AM177" s="32" t="str">
        <f t="shared" si="166"/>
        <v>1-0,00182198004373047i</v>
      </c>
      <c r="AN177" s="32">
        <f t="shared" si="187"/>
        <v>1.00000165980426</v>
      </c>
      <c r="AO177" s="32">
        <f t="shared" si="188"/>
        <v>-0.00182197802764598</v>
      </c>
      <c r="AP177" s="30" t="str">
        <f t="shared" si="189"/>
        <v>147,883293179392-110,51196846049i</v>
      </c>
      <c r="AQ177" s="32">
        <f t="shared" si="190"/>
        <v>45.3252970498581</v>
      </c>
      <c r="AR177" s="31">
        <f t="shared" si="191"/>
        <v>-36.7704597216727</v>
      </c>
      <c r="AS177" t="str">
        <f t="shared" si="167"/>
        <v>-0,000272527472527473</v>
      </c>
      <c r="AT177" t="str">
        <f t="shared" si="168"/>
        <v>0,000549266283421307i</v>
      </c>
      <c r="AU177">
        <f t="shared" si="192"/>
        <v>0.000549266283421307</v>
      </c>
      <c r="AV177">
        <f t="shared" si="193"/>
        <v>1.5707963267949</v>
      </c>
      <c r="AW177" t="str">
        <f t="shared" si="169"/>
        <v>1+0,0281214262569958i</v>
      </c>
      <c r="AX177">
        <f t="shared" si="194"/>
        <v>1.00039532916479</v>
      </c>
      <c r="AY177">
        <f t="shared" si="195"/>
        <v>0.0281140168274123</v>
      </c>
      <c r="AZ177" t="str">
        <f t="shared" si="170"/>
        <v>1+1,34444350637169i</v>
      </c>
      <c r="BA177">
        <f t="shared" si="196"/>
        <v>1.67556806541095</v>
      </c>
      <c r="BB177">
        <f t="shared" si="197"/>
        <v>0.931273642719585</v>
      </c>
      <c r="BC177" s="30" t="str">
        <f t="shared" si="198"/>
        <v>-0,652598698447836+0,514518402607132i</v>
      </c>
      <c r="BD177" s="32">
        <f t="shared" si="199"/>
        <v>-1.60764466106391</v>
      </c>
      <c r="BE177" s="31">
        <f t="shared" si="200"/>
        <v>141.747234790236</v>
      </c>
      <c r="BF177" s="30" t="str">
        <f t="shared" si="201"/>
        <v>8,70847907549899+21,7197144465754i</v>
      </c>
      <c r="BG177" s="68">
        <f t="shared" si="202"/>
        <v>27.3845043537474</v>
      </c>
      <c r="BH177" s="31">
        <f t="shared" si="203"/>
        <v>68.1517745088802</v>
      </c>
      <c r="BI177" s="30" t="str">
        <f t="shared" si="156"/>
        <v>-39,6480031697899+148,208642559167i</v>
      </c>
      <c r="BJ177" s="68">
        <f t="shared" si="204"/>
        <v>43.7176523887941</v>
      </c>
      <c r="BK177" s="31">
        <f t="shared" si="157"/>
        <v>104.976775068563</v>
      </c>
      <c r="BL177" s="32">
        <f t="shared" si="205"/>
        <v>27.3845043537474</v>
      </c>
      <c r="BM177" s="31">
        <f t="shared" si="206"/>
        <v>68.1517745088802</v>
      </c>
      <c r="BO177">
        <f t="shared" si="207"/>
        <v>0</v>
      </c>
      <c r="BP177">
        <f t="shared" si="208"/>
        <v>0</v>
      </c>
    </row>
    <row r="178" spans="14:68">
      <c r="N178" s="7">
        <v>60</v>
      </c>
      <c r="O178" s="18">
        <f t="shared" si="158"/>
        <v>398.107170553498</v>
      </c>
      <c r="P178" s="86" t="str">
        <f t="shared" si="159"/>
        <v>96,0576923076923</v>
      </c>
      <c r="Q178" s="4" t="str">
        <f t="shared" si="160"/>
        <v>1+3,33895897361528i</v>
      </c>
      <c r="R178" s="4">
        <f t="shared" si="171"/>
        <v>3.48549093062742</v>
      </c>
      <c r="S178" s="4">
        <f t="shared" si="172"/>
        <v>1.27980331659594</v>
      </c>
      <c r="T178" s="4" t="str">
        <f t="shared" si="161"/>
        <v>1+0,0392216560353678i</v>
      </c>
      <c r="U178" s="4">
        <f t="shared" si="173"/>
        <v>1.0007688735678</v>
      </c>
      <c r="V178" s="4">
        <f t="shared" si="174"/>
        <v>0.0392015625199</v>
      </c>
      <c r="W178" t="str">
        <f t="shared" si="162"/>
        <v>1-0,0186213928172452i</v>
      </c>
      <c r="X178" s="4">
        <f t="shared" si="175"/>
        <v>1.00017336310784</v>
      </c>
      <c r="Y178" s="4">
        <f t="shared" si="176"/>
        <v>-0.0186192409033666</v>
      </c>
      <c r="Z178" t="str">
        <f t="shared" si="163"/>
        <v>0,999998706209639+0,0319206098749614i</v>
      </c>
      <c r="AA178" s="4">
        <f t="shared" si="177"/>
        <v>1.00050803982564</v>
      </c>
      <c r="AB178" s="4">
        <f t="shared" si="178"/>
        <v>0.0319098161820853</v>
      </c>
      <c r="AC178" s="67" t="str">
        <f t="shared" si="179"/>
        <v>7,61061121393861-26,5000606674757i</v>
      </c>
      <c r="AD178" s="68">
        <f t="shared" si="180"/>
        <v>28.8091336479355</v>
      </c>
      <c r="AE178" s="31">
        <f t="shared" si="181"/>
        <v>-73.9763462788562</v>
      </c>
      <c r="AF178" s="32" t="str">
        <f t="shared" si="182"/>
        <v>236,914774604583</v>
      </c>
      <c r="AG178" s="32" t="str">
        <f t="shared" si="164"/>
        <v>1+0,824546178016255i</v>
      </c>
      <c r="AH178" s="32">
        <f t="shared" si="183"/>
        <v>1.29610045894646</v>
      </c>
      <c r="AI178" s="32">
        <f t="shared" si="184"/>
        <v>0.68952995289519</v>
      </c>
      <c r="AJ178" s="32" t="str">
        <f t="shared" si="165"/>
        <v>1+0,0392216560353678i</v>
      </c>
      <c r="AK178" s="32">
        <f t="shared" si="185"/>
        <v>1.0007688735678</v>
      </c>
      <c r="AL178" s="32">
        <f t="shared" si="186"/>
        <v>0.0392015625199</v>
      </c>
      <c r="AM178" s="32" t="str">
        <f t="shared" si="166"/>
        <v>1-0,00186441941082478i</v>
      </c>
      <c r="AN178" s="32">
        <f t="shared" si="187"/>
        <v>1.00000173802836</v>
      </c>
      <c r="AO178" s="32">
        <f t="shared" si="188"/>
        <v>-0.00186441725055153</v>
      </c>
      <c r="AP178" s="30" t="str">
        <f t="shared" si="189"/>
        <v>145,385535337692-111,026606206787i</v>
      </c>
      <c r="AQ178" s="32">
        <f t="shared" si="190"/>
        <v>45.2457604985442</v>
      </c>
      <c r="AR178" s="31">
        <f t="shared" si="191"/>
        <v>-37.3678953057482</v>
      </c>
      <c r="AS178" t="str">
        <f t="shared" si="167"/>
        <v>-0,000272527472527473</v>
      </c>
      <c r="AT178" t="str">
        <f t="shared" si="168"/>
        <v>0,000562060338721118i</v>
      </c>
      <c r="AU178">
        <f t="shared" si="192"/>
        <v>0.000562060338721118</v>
      </c>
      <c r="AV178">
        <f t="shared" si="193"/>
        <v>1.5707963267949</v>
      </c>
      <c r="AW178" t="str">
        <f t="shared" si="169"/>
        <v>1+0,0287764584217238i</v>
      </c>
      <c r="AX178">
        <f t="shared" si="194"/>
        <v>1.00041395659962</v>
      </c>
      <c r="AY178">
        <f t="shared" si="195"/>
        <v>0.0287685192523027</v>
      </c>
      <c r="AZ178" t="str">
        <f t="shared" si="170"/>
        <v>1+1,37575961858752i</v>
      </c>
      <c r="BA178">
        <f t="shared" si="196"/>
        <v>1.70079820323755</v>
      </c>
      <c r="BB178">
        <f t="shared" si="197"/>
        <v>0.942262732425172</v>
      </c>
      <c r="BC178" s="30" t="str">
        <f t="shared" si="198"/>
        <v>-0,652574396254791+0,503651050363065i</v>
      </c>
      <c r="BD178" s="32">
        <f t="shared" si="199"/>
        <v>-1.67799211516451</v>
      </c>
      <c r="BE178" s="31">
        <f t="shared" si="200"/>
        <v>142.339363024429</v>
      </c>
      <c r="BF178" s="30" t="str">
        <f t="shared" si="201"/>
        <v>8,38029337179315+21,1263534225984i</v>
      </c>
      <c r="BG178" s="68">
        <f t="shared" si="202"/>
        <v>27.131141532771</v>
      </c>
      <c r="BH178" s="31">
        <f t="shared" si="203"/>
        <v>68.3630167455731</v>
      </c>
      <c r="BI178" s="30" t="str">
        <f t="shared" ref="BI178:BI241" si="209">IMPRODUCT(AP178,BC178)</f>
        <v>-38,9562111128793+145,676698094038i</v>
      </c>
      <c r="BJ178" s="68">
        <f t="shared" si="204"/>
        <v>43.5677683833797</v>
      </c>
      <c r="BK178" s="31">
        <f t="shared" ref="BK178:BK241" si="210">(180/PI())*IMARGUMENT(BI178)</f>
        <v>104.971467718681</v>
      </c>
      <c r="BL178" s="32">
        <f t="shared" si="205"/>
        <v>27.131141532771</v>
      </c>
      <c r="BM178" s="31">
        <f t="shared" si="206"/>
        <v>68.3630167455731</v>
      </c>
      <c r="BO178">
        <f t="shared" si="207"/>
        <v>0</v>
      </c>
      <c r="BP178">
        <f t="shared" si="208"/>
        <v>0</v>
      </c>
    </row>
    <row r="179" spans="14:68">
      <c r="N179" s="7">
        <v>61</v>
      </c>
      <c r="O179" s="18">
        <f t="shared" si="158"/>
        <v>407.380277804113</v>
      </c>
      <c r="P179" s="86" t="str">
        <f t="shared" si="159"/>
        <v>96,0576923076923</v>
      </c>
      <c r="Q179" s="4" t="str">
        <f t="shared" si="160"/>
        <v>1+3,41673331921344i</v>
      </c>
      <c r="R179" s="4">
        <f t="shared" si="171"/>
        <v>3.56006552954061</v>
      </c>
      <c r="S179" s="4">
        <f t="shared" si="172"/>
        <v>1.28607114733754</v>
      </c>
      <c r="T179" s="4" t="str">
        <f t="shared" si="161"/>
        <v>1+0,0401352457666379i</v>
      </c>
      <c r="U179" s="4">
        <f t="shared" si="173"/>
        <v>1.00080509488749</v>
      </c>
      <c r="V179" s="4">
        <f t="shared" si="174"/>
        <v>0.0401137161122397</v>
      </c>
      <c r="W179" t="str">
        <f t="shared" si="162"/>
        <v>1-0,0190551407763942i</v>
      </c>
      <c r="X179" s="4">
        <f t="shared" si="175"/>
        <v>1.00018153271794</v>
      </c>
      <c r="Y179" s="4">
        <f t="shared" si="176"/>
        <v>-0.0190528349817325</v>
      </c>
      <c r="Z179" t="str">
        <f t="shared" si="163"/>
        <v>0,999998645235178+0,0326641363943758i</v>
      </c>
      <c r="AA179" s="4">
        <f t="shared" si="177"/>
        <v>1.00053197663972</v>
      </c>
      <c r="AB179" s="4">
        <f t="shared" si="178"/>
        <v>0.0326525710761793</v>
      </c>
      <c r="AC179" s="67" t="str">
        <f t="shared" si="179"/>
        <v>7,28170563287482-25,9935984299735i</v>
      </c>
      <c r="AD179" s="68">
        <f t="shared" si="180"/>
        <v>28.6254304580082</v>
      </c>
      <c r="AE179" s="31">
        <f t="shared" si="181"/>
        <v>-74.3506038072998</v>
      </c>
      <c r="AF179" s="32" t="str">
        <f t="shared" si="182"/>
        <v>236,914774604583</v>
      </c>
      <c r="AG179" s="32" t="str">
        <f t="shared" si="164"/>
        <v>1+0,84375232577591i</v>
      </c>
      <c r="AH179" s="32">
        <f t="shared" si="183"/>
        <v>1.30840283829265</v>
      </c>
      <c r="AI179" s="32">
        <f t="shared" si="184"/>
        <v>0.700855766465056</v>
      </c>
      <c r="AJ179" s="32" t="str">
        <f t="shared" si="165"/>
        <v>1+0,0401352457666379i</v>
      </c>
      <c r="AK179" s="32">
        <f t="shared" si="185"/>
        <v>1.00080509488749</v>
      </c>
      <c r="AL179" s="32">
        <f t="shared" si="186"/>
        <v>0.0401137161122397</v>
      </c>
      <c r="AM179" s="32" t="str">
        <f t="shared" si="166"/>
        <v>1-0,0019078473177692i</v>
      </c>
      <c r="AN179" s="32">
        <f t="shared" si="187"/>
        <v>1.00000181993904</v>
      </c>
      <c r="AO179" s="32">
        <f t="shared" si="188"/>
        <v>-0.00190784500299494</v>
      </c>
      <c r="AP179" s="30" t="str">
        <f t="shared" si="189"/>
        <v>142,865765008171-111,486686012165i</v>
      </c>
      <c r="AQ179" s="32">
        <f t="shared" si="190"/>
        <v>45.1640193138097</v>
      </c>
      <c r="AR179" s="31">
        <f t="shared" si="191"/>
        <v>-37.9670422986735</v>
      </c>
      <c r="AS179" t="str">
        <f t="shared" si="167"/>
        <v>-0,000272527472527473</v>
      </c>
      <c r="AT179" t="str">
        <f t="shared" si="168"/>
        <v>0,000575152405852267i</v>
      </c>
      <c r="AU179">
        <f t="shared" si="192"/>
        <v>0.000575152405852267</v>
      </c>
      <c r="AV179">
        <f t="shared" si="193"/>
        <v>1.5707963267949</v>
      </c>
      <c r="AW179" t="str">
        <f t="shared" si="169"/>
        <v>1+0,0294467482456084i</v>
      </c>
      <c r="AX179">
        <f t="shared" si="194"/>
        <v>1.00043346154666</v>
      </c>
      <c r="AY179">
        <f t="shared" si="195"/>
        <v>0.0294382414713621</v>
      </c>
      <c r="AZ179" t="str">
        <f t="shared" si="170"/>
        <v>1+1,40780517676345i</v>
      </c>
      <c r="BA179">
        <f t="shared" si="196"/>
        <v>1.72682234631185</v>
      </c>
      <c r="BB179">
        <f t="shared" si="197"/>
        <v>0.953174020192787</v>
      </c>
      <c r="BC179" s="30" t="str">
        <f t="shared" si="198"/>
        <v>-0,652548950674542+0,493050674695244i</v>
      </c>
      <c r="BD179" s="32">
        <f t="shared" si="199"/>
        <v>-1.74626402682948</v>
      </c>
      <c r="BE179" s="31">
        <f t="shared" si="200"/>
        <v>142.926161505968</v>
      </c>
      <c r="BF179" s="30" t="str">
        <f t="shared" si="201"/>
        <v>8,0644918738023+20,5523452549557i</v>
      </c>
      <c r="BG179" s="68">
        <f t="shared" si="202"/>
        <v>26.8791664311787</v>
      </c>
      <c r="BH179" s="31">
        <f t="shared" si="203"/>
        <v>68.5755576986683</v>
      </c>
      <c r="BI179" s="30" t="str">
        <f t="shared" si="209"/>
        <v>-38,2583192855629+143,190581799551i</v>
      </c>
      <c r="BJ179" s="68">
        <f t="shared" si="204"/>
        <v>43.4177552869802</v>
      </c>
      <c r="BK179" s="31">
        <f t="shared" si="210"/>
        <v>104.959119207295</v>
      </c>
      <c r="BL179" s="32">
        <f t="shared" si="205"/>
        <v>26.8791664311787</v>
      </c>
      <c r="BM179" s="31">
        <f t="shared" si="206"/>
        <v>68.5755576986683</v>
      </c>
      <c r="BO179">
        <f t="shared" si="207"/>
        <v>0</v>
      </c>
      <c r="BP179">
        <f t="shared" si="208"/>
        <v>0</v>
      </c>
    </row>
    <row r="180" spans="14:68">
      <c r="N180" s="7">
        <v>62</v>
      </c>
      <c r="O180" s="18">
        <f t="shared" si="158"/>
        <v>416.869383470336</v>
      </c>
      <c r="P180" s="86" t="str">
        <f t="shared" si="159"/>
        <v>96,0576923076923</v>
      </c>
      <c r="Q180" s="4" t="str">
        <f t="shared" si="160"/>
        <v>1+3,49631926204328i</v>
      </c>
      <c r="R180" s="4">
        <f t="shared" si="171"/>
        <v>3.6365159675347</v>
      </c>
      <c r="S180" s="4">
        <f t="shared" si="172"/>
        <v>1.2922186059017</v>
      </c>
      <c r="T180" s="4" t="str">
        <f t="shared" si="161"/>
        <v>1+0,0410701157364665i</v>
      </c>
      <c r="U180" s="4">
        <f t="shared" si="173"/>
        <v>1.00084302186037</v>
      </c>
      <c r="V180" s="4">
        <f t="shared" si="174"/>
        <v>0.0410470473454965</v>
      </c>
      <c r="W180" t="str">
        <f t="shared" si="162"/>
        <v>1-0,0194989920234074i</v>
      </c>
      <c r="X180" s="4">
        <f t="shared" si="175"/>
        <v>1.00019008727838</v>
      </c>
      <c r="Y180" s="4">
        <f t="shared" si="176"/>
        <v>-0.0194965213452731</v>
      </c>
      <c r="Z180" t="str">
        <f t="shared" si="163"/>
        <v>0,999998581387079+0,0334249818712675i</v>
      </c>
      <c r="AA180" s="4">
        <f t="shared" si="177"/>
        <v>1.00055704094732</v>
      </c>
      <c r="AB180" s="4">
        <f t="shared" si="178"/>
        <v>0.0334125897821394</v>
      </c>
      <c r="AC180" s="67" t="str">
        <f t="shared" si="179"/>
        <v>6,96531031573993-25,4929066946552i</v>
      </c>
      <c r="AD180" s="68">
        <f t="shared" si="180"/>
        <v>28.4410661827645</v>
      </c>
      <c r="AE180" s="31">
        <f t="shared" si="181"/>
        <v>-74.7183185174651</v>
      </c>
      <c r="AF180" s="32" t="str">
        <f t="shared" si="182"/>
        <v>236,914774604583</v>
      </c>
      <c r="AG180" s="32" t="str">
        <f t="shared" si="164"/>
        <v>1+0,863405842187078i</v>
      </c>
      <c r="AH180" s="32">
        <f t="shared" si="183"/>
        <v>1.32116223391481</v>
      </c>
      <c r="AI180" s="32">
        <f t="shared" si="184"/>
        <v>0.712225544715393</v>
      </c>
      <c r="AJ180" s="32" t="str">
        <f t="shared" si="165"/>
        <v>1+0,0410701157364665i</v>
      </c>
      <c r="AK180" s="32">
        <f t="shared" si="185"/>
        <v>1.00084302186037</v>
      </c>
      <c r="AL180" s="32">
        <f t="shared" si="186"/>
        <v>0.0410470473454965</v>
      </c>
      <c r="AM180" s="32" t="str">
        <f t="shared" si="166"/>
        <v>1-0,00195228679061486i</v>
      </c>
      <c r="AN180" s="32">
        <f t="shared" si="187"/>
        <v>1.00000190571004</v>
      </c>
      <c r="AO180" s="32">
        <f t="shared" si="188"/>
        <v>-0.00195228431028981</v>
      </c>
      <c r="AP180" s="30" t="str">
        <f t="shared" si="189"/>
        <v>140,326395004136-111,891037631895i</v>
      </c>
      <c r="AQ180" s="32">
        <f t="shared" si="190"/>
        <v>45.0800557548468</v>
      </c>
      <c r="AR180" s="31">
        <f t="shared" si="191"/>
        <v>-38.5675528506166</v>
      </c>
      <c r="AS180" t="str">
        <f t="shared" si="167"/>
        <v>-0,000272527472527473</v>
      </c>
      <c r="AT180" t="str">
        <f t="shared" si="168"/>
        <v>0,000588549426402041i</v>
      </c>
      <c r="AU180">
        <f t="shared" si="192"/>
        <v>0.000588549426402041</v>
      </c>
      <c r="AV180">
        <f t="shared" si="193"/>
        <v>1.5707963267949</v>
      </c>
      <c r="AW180" t="str">
        <f t="shared" si="169"/>
        <v>1+0,0301326511251867i</v>
      </c>
      <c r="AX180">
        <f t="shared" si="194"/>
        <v>1.00045388532597</v>
      </c>
      <c r="AY180">
        <f t="shared" si="195"/>
        <v>0.0301235361756882</v>
      </c>
      <c r="AZ180" t="str">
        <f t="shared" si="170"/>
        <v>1+1,4405971718786i</v>
      </c>
      <c r="BA180">
        <f t="shared" si="196"/>
        <v>1.75365909219113</v>
      </c>
      <c r="BB180">
        <f t="shared" si="197"/>
        <v>0.964002899097367</v>
      </c>
      <c r="BC180" s="30" t="str">
        <f t="shared" si="198"/>
        <v>-0,652522308007818+0,482711650440941i</v>
      </c>
      <c r="BD180" s="32">
        <f t="shared" si="199"/>
        <v>-1.81249112368068</v>
      </c>
      <c r="BE180" s="31">
        <f t="shared" si="200"/>
        <v>143.507346069778</v>
      </c>
      <c r="BF180" s="30" t="str">
        <f t="shared" si="201"/>
        <v>7,76070270189664+19,9969267525685i</v>
      </c>
      <c r="BG180" s="68">
        <f t="shared" si="202"/>
        <v>26.6285750590838</v>
      </c>
      <c r="BH180" s="31">
        <f t="shared" si="203"/>
        <v>68.7890275523133</v>
      </c>
      <c r="BI180" s="30" t="str">
        <f t="shared" si="209"/>
        <v>-37,5549956976741+140,748583853828i</v>
      </c>
      <c r="BJ180" s="68">
        <f t="shared" si="204"/>
        <v>43.2675646311661</v>
      </c>
      <c r="BK180" s="31">
        <f t="shared" si="210"/>
        <v>104.939793219162</v>
      </c>
      <c r="BL180" s="32">
        <f t="shared" si="205"/>
        <v>26.6285750590838</v>
      </c>
      <c r="BM180" s="31">
        <f t="shared" si="206"/>
        <v>68.7890275523133</v>
      </c>
      <c r="BO180">
        <f t="shared" si="207"/>
        <v>0</v>
      </c>
      <c r="BP180">
        <f t="shared" si="208"/>
        <v>0</v>
      </c>
    </row>
    <row r="181" spans="14:68">
      <c r="N181" s="7">
        <v>63</v>
      </c>
      <c r="O181" s="18">
        <f t="shared" si="158"/>
        <v>426.579518801593</v>
      </c>
      <c r="P181" s="86" t="str">
        <f t="shared" si="159"/>
        <v>96,0576923076923</v>
      </c>
      <c r="Q181" s="4" t="str">
        <f t="shared" si="160"/>
        <v>1+3,57775899962511i</v>
      </c>
      <c r="R181" s="4">
        <f t="shared" si="171"/>
        <v>3.71488350549495</v>
      </c>
      <c r="S181" s="4">
        <f t="shared" si="172"/>
        <v>1.29824709247502</v>
      </c>
      <c r="T181" s="4" t="str">
        <f t="shared" si="161"/>
        <v>1+0,0420267616252857i</v>
      </c>
      <c r="U181" s="4">
        <f t="shared" si="173"/>
        <v>1.00088273473605</v>
      </c>
      <c r="V181" s="4">
        <f t="shared" si="174"/>
        <v>0.0420020445762832</v>
      </c>
      <c r="W181" t="str">
        <f t="shared" si="162"/>
        <v>1-0,0199531818940911i</v>
      </c>
      <c r="X181" s="4">
        <f t="shared" si="175"/>
        <v>1.00019904492441</v>
      </c>
      <c r="Y181" s="4">
        <f t="shared" si="176"/>
        <v>-0.0199505345432266</v>
      </c>
      <c r="Z181" t="str">
        <f t="shared" si="163"/>
        <v>0,999998514529911+0,0342035497159793i</v>
      </c>
      <c r="AA181" s="4">
        <f t="shared" si="177"/>
        <v>1.00058328582642</v>
      </c>
      <c r="AB181" s="4">
        <f t="shared" si="178"/>
        <v>0.0341902717712693</v>
      </c>
      <c r="AC181" s="67" t="str">
        <f t="shared" si="179"/>
        <v>6,66104132450529-24,9981744565692i</v>
      </c>
      <c r="AD181" s="68">
        <f t="shared" si="180"/>
        <v>28.2560667771815</v>
      </c>
      <c r="AE181" s="31">
        <f t="shared" si="181"/>
        <v>-75.0795789800634</v>
      </c>
      <c r="AF181" s="32" t="str">
        <f t="shared" si="182"/>
        <v>236,914774604583</v>
      </c>
      <c r="AG181" s="32" t="str">
        <f t="shared" si="164"/>
        <v>1+0,883517147804299i</v>
      </c>
      <c r="AH181" s="32">
        <f t="shared" si="183"/>
        <v>1.33439220263918</v>
      </c>
      <c r="AI181" s="32">
        <f t="shared" si="184"/>
        <v>0.72363355856063</v>
      </c>
      <c r="AJ181" s="32" t="str">
        <f t="shared" si="165"/>
        <v>1+0,0420267616252857i</v>
      </c>
      <c r="AK181" s="32">
        <f t="shared" si="185"/>
        <v>1.00088273473605</v>
      </c>
      <c r="AL181" s="32">
        <f t="shared" si="186"/>
        <v>0.0420020445762832</v>
      </c>
      <c r="AM181" s="32" t="str">
        <f t="shared" si="166"/>
        <v>1-0,00199776139175847i</v>
      </c>
      <c r="AN181" s="32">
        <f t="shared" si="187"/>
        <v>1.0000019955233</v>
      </c>
      <c r="AO181" s="32">
        <f t="shared" si="188"/>
        <v>-0.00199775873404258</v>
      </c>
      <c r="AP181" s="30" t="str">
        <f t="shared" si="189"/>
        <v>137,769917654392-112,238623131269i</v>
      </c>
      <c r="AQ181" s="32">
        <f t="shared" si="190"/>
        <v>44.9938542815794</v>
      </c>
      <c r="AR181" s="31">
        <f t="shared" si="191"/>
        <v>-39.1690720783618</v>
      </c>
      <c r="AS181" t="str">
        <f t="shared" si="167"/>
        <v>-0,000272527472527473</v>
      </c>
      <c r="AT181" t="str">
        <f t="shared" si="168"/>
        <v>0,000602258503648066i</v>
      </c>
      <c r="AU181">
        <f t="shared" si="192"/>
        <v>0.000602258503648066</v>
      </c>
      <c r="AV181">
        <f t="shared" si="193"/>
        <v>1.5707963267949</v>
      </c>
      <c r="AW181" t="str">
        <f t="shared" si="169"/>
        <v>1+0,0308345307352443i</v>
      </c>
      <c r="AX181">
        <f t="shared" si="194"/>
        <v>1.00047527120147</v>
      </c>
      <c r="AY181">
        <f t="shared" si="195"/>
        <v>0.0308247641414577</v>
      </c>
      <c r="AZ181" t="str">
        <f t="shared" si="170"/>
        <v>1+1,47415299068285i</v>
      </c>
      <c r="BA181">
        <f t="shared" si="196"/>
        <v>1.7813273253221</v>
      </c>
      <c r="BB181">
        <f t="shared" si="197"/>
        <v>0.974744952120652</v>
      </c>
      <c r="BC181" s="30" t="str">
        <f t="shared" si="198"/>
        <v>-0,652494412042579+0,472628490674052i</v>
      </c>
      <c r="BD181" s="32">
        <f t="shared" si="199"/>
        <v>-1.87670561848205</v>
      </c>
      <c r="BE181" s="31">
        <f t="shared" si="200"/>
        <v>144.082642968403</v>
      </c>
      <c r="BF181" s="30" t="str">
        <f t="shared" si="201"/>
        <v>7,46855722039054+19,4593670516954i</v>
      </c>
      <c r="BG181" s="68">
        <f t="shared" si="202"/>
        <v>26.3793611586994</v>
      </c>
      <c r="BH181" s="31">
        <f t="shared" si="203"/>
        <v>69.0030639883398</v>
      </c>
      <c r="BI181" s="30" t="str">
        <f t="shared" si="209"/>
        <v>-36,8469303711916+138,34906264979i</v>
      </c>
      <c r="BJ181" s="68">
        <f t="shared" si="204"/>
        <v>43.1171486630974</v>
      </c>
      <c r="BK181" s="31">
        <f t="shared" si="210"/>
        <v>104.913570890041</v>
      </c>
      <c r="BL181" s="32">
        <f t="shared" si="205"/>
        <v>26.3793611586994</v>
      </c>
      <c r="BM181" s="31">
        <f t="shared" si="206"/>
        <v>69.0030639883398</v>
      </c>
      <c r="BO181">
        <f t="shared" si="207"/>
        <v>0</v>
      </c>
      <c r="BP181">
        <f t="shared" si="208"/>
        <v>0</v>
      </c>
    </row>
    <row r="182" spans="14:68">
      <c r="N182" s="7">
        <v>64</v>
      </c>
      <c r="O182" s="18">
        <f t="shared" si="158"/>
        <v>436.515832240166</v>
      </c>
      <c r="P182" s="86" t="str">
        <f t="shared" si="159"/>
        <v>96,0576923076923</v>
      </c>
      <c r="Q182" s="4" t="str">
        <f t="shared" si="160"/>
        <v>1+3,66109571238577i</v>
      </c>
      <c r="R182" s="4">
        <f t="shared" si="171"/>
        <v>3.79521037825961</v>
      </c>
      <c r="S182" s="4">
        <f t="shared" si="172"/>
        <v>1.30415805002323</v>
      </c>
      <c r="T182" s="4" t="str">
        <f t="shared" si="161"/>
        <v>1+0,0430056906594084i</v>
      </c>
      <c r="U182" s="4">
        <f t="shared" si="173"/>
        <v>1.0009243175331</v>
      </c>
      <c r="V182" s="4">
        <f t="shared" si="174"/>
        <v>0.0429792071849909</v>
      </c>
      <c r="W182" t="str">
        <f t="shared" si="162"/>
        <v>1-0,0204179512059266i</v>
      </c>
      <c r="X182" s="4">
        <f t="shared" si="175"/>
        <v>1.00020842464531</v>
      </c>
      <c r="Y182" s="4">
        <f t="shared" si="176"/>
        <v>-0.0204151145502919</v>
      </c>
      <c r="Z182" t="str">
        <f t="shared" si="163"/>
        <v>0,999998444521863+0,0350002527354879i</v>
      </c>
      <c r="AA182" s="4">
        <f t="shared" si="177"/>
        <v>1.00061076685077</v>
      </c>
      <c r="AB182" s="4">
        <f t="shared" si="178"/>
        <v>0.0349860256303907</v>
      </c>
      <c r="AC182" s="67" t="str">
        <f t="shared" si="179"/>
        <v>6,36851885202171-24,509571260717i</v>
      </c>
      <c r="AD182" s="68">
        <f t="shared" si="180"/>
        <v>28.0704574221001</v>
      </c>
      <c r="AE182" s="31">
        <f t="shared" si="181"/>
        <v>-75.4344764183896</v>
      </c>
      <c r="AF182" s="32" t="str">
        <f t="shared" si="182"/>
        <v>236,914774604583</v>
      </c>
      <c r="AG182" s="32" t="str">
        <f t="shared" si="164"/>
        <v>1+0,904096905908017i</v>
      </c>
      <c r="AH182" s="32">
        <f t="shared" si="183"/>
        <v>1.34810652964536</v>
      </c>
      <c r="AI182" s="32">
        <f t="shared" si="184"/>
        <v>0.735073980222224</v>
      </c>
      <c r="AJ182" s="32" t="str">
        <f t="shared" si="165"/>
        <v>1+0,0430056906594084i</v>
      </c>
      <c r="AK182" s="32">
        <f t="shared" si="185"/>
        <v>1.0009243175331</v>
      </c>
      <c r="AL182" s="32">
        <f t="shared" si="186"/>
        <v>0.0429792071849909</v>
      </c>
      <c r="AM182" s="32" t="str">
        <f t="shared" si="166"/>
        <v>1-0,00204429523243549i</v>
      </c>
      <c r="AN182" s="32">
        <f t="shared" si="187"/>
        <v>1.00000208956932</v>
      </c>
      <c r="AO182" s="32">
        <f t="shared" si="188"/>
        <v>-0.00204429238464193</v>
      </c>
      <c r="AP182" s="30" t="str">
        <f t="shared" si="189"/>
        <v>135,198895457569-112,528543300299i</v>
      </c>
      <c r="AQ182" s="32">
        <f t="shared" si="190"/>
        <v>44.9054016223452</v>
      </c>
      <c r="AR182" s="31">
        <f t="shared" si="191"/>
        <v>-39.7712388438288</v>
      </c>
      <c r="AS182" t="str">
        <f t="shared" si="167"/>
        <v>-0,000272527472527473</v>
      </c>
      <c r="AT182" t="str">
        <f t="shared" si="168"/>
        <v>0,000616286906324558i</v>
      </c>
      <c r="AU182">
        <f t="shared" si="192"/>
        <v>0.000616286906324558</v>
      </c>
      <c r="AV182">
        <f t="shared" si="193"/>
        <v>1.5707963267949</v>
      </c>
      <c r="AW182" t="str">
        <f t="shared" si="169"/>
        <v>1+0,031552759221641i</v>
      </c>
      <c r="AX182">
        <f t="shared" si="194"/>
        <v>1.00049766447229</v>
      </c>
      <c r="AY182">
        <f t="shared" si="195"/>
        <v>0.0315422944089758</v>
      </c>
      <c r="AZ182" t="str">
        <f t="shared" si="170"/>
        <v>1+1,50849042491547i</v>
      </c>
      <c r="BA182">
        <f t="shared" si="196"/>
        <v>1.80984622608156</v>
      </c>
      <c r="BB182">
        <f t="shared" si="197"/>
        <v>0.98539595851688</v>
      </c>
      <c r="BC182" s="30" t="str">
        <f t="shared" si="198"/>
        <v>-0,652465203937304+0,462795843771972i</v>
      </c>
      <c r="BD182" s="32">
        <f t="shared" si="199"/>
        <v>-1.93894109834668</v>
      </c>
      <c r="BE182" s="31">
        <f t="shared" si="200"/>
        <v>144.651789226472</v>
      </c>
      <c r="BF182" s="30" t="str">
        <f t="shared" si="201"/>
        <v>7,18769076052989+18,9389664667387i</v>
      </c>
      <c r="BG182" s="68">
        <f t="shared" si="202"/>
        <v>26.1315163237535</v>
      </c>
      <c r="BH182" s="31">
        <f t="shared" si="203"/>
        <v>69.2173128080824</v>
      </c>
      <c r="BI182" s="30" t="str">
        <f t="shared" si="209"/>
        <v>-36,1348327517282+135,990445853522i</v>
      </c>
      <c r="BJ182" s="68">
        <f t="shared" si="204"/>
        <v>42.9664605239986</v>
      </c>
      <c r="BK182" s="31">
        <f t="shared" si="210"/>
        <v>104.880550382643</v>
      </c>
      <c r="BL182" s="32">
        <f t="shared" si="205"/>
        <v>26.1315163237535</v>
      </c>
      <c r="BM182" s="31">
        <f t="shared" si="206"/>
        <v>69.2173128080824</v>
      </c>
      <c r="BO182">
        <f t="shared" si="207"/>
        <v>0</v>
      </c>
      <c r="BP182">
        <f t="shared" si="208"/>
        <v>0</v>
      </c>
    </row>
    <row r="183" spans="14:68">
      <c r="N183" s="7">
        <v>65</v>
      </c>
      <c r="O183" s="18">
        <f t="shared" si="158"/>
        <v>446.683592150963</v>
      </c>
      <c r="P183" s="86" t="str">
        <f t="shared" si="159"/>
        <v>96,0576923076923</v>
      </c>
      <c r="Q183" s="4" t="str">
        <f t="shared" si="160"/>
        <v>1+3,74637358655347i</v>
      </c>
      <c r="R183" s="4">
        <f t="shared" si="171"/>
        <v>3.87753981927014</v>
      </c>
      <c r="S183" s="4">
        <f t="shared" si="172"/>
        <v>1.30995295975052</v>
      </c>
      <c r="T183" s="4" t="str">
        <f t="shared" si="161"/>
        <v>1+0,0440074218799665i</v>
      </c>
      <c r="U183" s="4">
        <f t="shared" si="173"/>
        <v>1.0009678582155</v>
      </c>
      <c r="V183" s="4">
        <f t="shared" si="174"/>
        <v>0.0439790458075922</v>
      </c>
      <c r="W183" t="str">
        <f t="shared" si="162"/>
        <v>1-0,0208935463857551i</v>
      </c>
      <c r="X183" s="4">
        <f t="shared" si="175"/>
        <v>1.00021824632456</v>
      </c>
      <c r="Y183" s="4">
        <f t="shared" si="176"/>
        <v>-0.0208905068902989</v>
      </c>
      <c r="Z183" t="str">
        <f t="shared" si="163"/>
        <v>0,999998371214437+0,0358155133522801i</v>
      </c>
      <c r="AA183" s="4">
        <f t="shared" si="177"/>
        <v>1.00063954220699</v>
      </c>
      <c r="AB183" s="4">
        <f t="shared" si="178"/>
        <v>0.0358002692606878</v>
      </c>
      <c r="AC183" s="67" t="str">
        <f t="shared" si="179"/>
        <v>6,08736789672966-24,0272480958171i</v>
      </c>
      <c r="AD183" s="68">
        <f t="shared" si="180"/>
        <v>27.8842625343652</v>
      </c>
      <c r="AE183" s="31">
        <f t="shared" si="181"/>
        <v>-75.7831044533605</v>
      </c>
      <c r="AF183" s="32" t="str">
        <f t="shared" si="182"/>
        <v>236,914774604583</v>
      </c>
      <c r="AG183" s="32" t="str">
        <f t="shared" si="164"/>
        <v>1+0,925156028158386i</v>
      </c>
      <c r="AH183" s="32">
        <f t="shared" si="183"/>
        <v>1.3623192270675</v>
      </c>
      <c r="AI183" s="32">
        <f t="shared" si="184"/>
        <v>0.746540897645491</v>
      </c>
      <c r="AJ183" s="32" t="str">
        <f t="shared" si="165"/>
        <v>1+0,0440074218799665i</v>
      </c>
      <c r="AK183" s="32">
        <f t="shared" si="185"/>
        <v>1.0009678582155</v>
      </c>
      <c r="AL183" s="32">
        <f t="shared" si="186"/>
        <v>0.0439790458075922</v>
      </c>
      <c r="AM183" s="32" t="str">
        <f t="shared" si="166"/>
        <v>1-0,00209191298550419i</v>
      </c>
      <c r="AN183" s="32">
        <f t="shared" si="187"/>
        <v>1.00000218804758</v>
      </c>
      <c r="AO183" s="32">
        <f t="shared" si="188"/>
        <v>-0.00209190993403877</v>
      </c>
      <c r="AP183" s="30" t="str">
        <f t="shared" si="189"/>
        <v>132,615951132744-112,760043278248i</v>
      </c>
      <c r="AQ183" s="32">
        <f t="shared" si="190"/>
        <v>44.8146868331069</v>
      </c>
      <c r="AR183" s="31">
        <f t="shared" si="191"/>
        <v>-40.3736865675489</v>
      </c>
      <c r="AS183" t="str">
        <f t="shared" si="167"/>
        <v>-0,000272527472527473</v>
      </c>
      <c r="AT183" t="str">
        <f t="shared" si="168"/>
        <v>0,000630642072476306i</v>
      </c>
      <c r="AU183">
        <f t="shared" si="192"/>
        <v>0.000630642072476306</v>
      </c>
      <c r="AV183">
        <f t="shared" si="193"/>
        <v>1.5707963267949</v>
      </c>
      <c r="AW183" t="str">
        <f t="shared" si="169"/>
        <v>1+0,0322877173986272i</v>
      </c>
      <c r="AX183">
        <f t="shared" si="194"/>
        <v>1.00052111256825</v>
      </c>
      <c r="AY183">
        <f t="shared" si="195"/>
        <v>0.0322765044652359</v>
      </c>
      <c r="AZ183" t="str">
        <f t="shared" si="170"/>
        <v>1+1,54362768073862i</v>
      </c>
      <c r="BA183">
        <f t="shared" si="196"/>
        <v>1.83923528042023</v>
      </c>
      <c r="BB183">
        <f t="shared" si="197"/>
        <v>0.99595189918496</v>
      </c>
      <c r="BC183" s="30" t="str">
        <f t="shared" si="198"/>
        <v>-0,652434622099+0,453208490552551i</v>
      </c>
      <c r="BD183" s="32">
        <f t="shared" si="199"/>
        <v>-1.99923241220115</v>
      </c>
      <c r="BE183" s="31">
        <f t="shared" si="200"/>
        <v>145.214532938044</v>
      </c>
      <c r="BF183" s="30" t="str">
        <f t="shared" si="201"/>
        <v>6,91774326835652+18,4350553473883i</v>
      </c>
      <c r="BG183" s="68">
        <f t="shared" si="202"/>
        <v>25.885030122164</v>
      </c>
      <c r="BH183" s="31">
        <f t="shared" si="203"/>
        <v>69.4314284846834</v>
      </c>
      <c r="BI183" s="30" t="str">
        <f t="shared" si="209"/>
        <v>-35,4194289528162+133,671231260172i</v>
      </c>
      <c r="BJ183" s="68">
        <f t="shared" si="204"/>
        <v>42.8154544209057</v>
      </c>
      <c r="BK183" s="31">
        <f t="shared" si="210"/>
        <v>104.840846370495</v>
      </c>
      <c r="BL183" s="32">
        <f t="shared" si="205"/>
        <v>25.885030122164</v>
      </c>
      <c r="BM183" s="31">
        <f t="shared" si="206"/>
        <v>69.4314284846834</v>
      </c>
      <c r="BO183">
        <f t="shared" si="207"/>
        <v>0</v>
      </c>
      <c r="BP183">
        <f t="shared" si="208"/>
        <v>0</v>
      </c>
    </row>
    <row r="184" spans="14:68">
      <c r="N184" s="7">
        <v>66</v>
      </c>
      <c r="O184" s="18">
        <f t="shared" ref="O184:O218" si="211">10^(2+(N184/100))</f>
        <v>457.088189614876</v>
      </c>
      <c r="P184" s="86" t="str">
        <f t="shared" si="159"/>
        <v>96,0576923076923</v>
      </c>
      <c r="Q184" s="4" t="str">
        <f t="shared" si="160"/>
        <v>1+3,83363783758589i</v>
      </c>
      <c r="R184" s="4">
        <f t="shared" si="171"/>
        <v>3.9619160856548</v>
      </c>
      <c r="S184" s="4">
        <f t="shared" si="172"/>
        <v>1.31563333677204</v>
      </c>
      <c r="T184" s="4" t="str">
        <f t="shared" si="161"/>
        <v>1+0,0450324864181127i</v>
      </c>
      <c r="U184" s="4">
        <f t="shared" si="173"/>
        <v>1.00101344887719</v>
      </c>
      <c r="V184" s="4">
        <f t="shared" si="174"/>
        <v>0.0450020825710779</v>
      </c>
      <c r="W184" t="str">
        <f t="shared" si="162"/>
        <v>1-0,0213802196004362i</v>
      </c>
      <c r="X184" s="4">
        <f t="shared" si="175"/>
        <v>1.00022853078192</v>
      </c>
      <c r="Y184" s="4">
        <f t="shared" si="176"/>
        <v>-0.0213769627625648</v>
      </c>
      <c r="Z184" t="str">
        <f t="shared" si="163"/>
        <v>0,999998294452138+0,0366497638283261i</v>
      </c>
      <c r="AA184" s="4">
        <f t="shared" si="177"/>
        <v>1.00066967281709</v>
      </c>
      <c r="AB184" s="4">
        <f t="shared" si="178"/>
        <v>0.0366334300802249</v>
      </c>
      <c r="AC184" s="67" t="str">
        <f t="shared" si="179"/>
        <v>5,81721886307987-23,5513382837076i</v>
      </c>
      <c r="AD184" s="68">
        <f t="shared" si="180"/>
        <v>27.6975057783262</v>
      </c>
      <c r="AE184" s="31">
        <f t="shared" si="181"/>
        <v>-76.1255588609172</v>
      </c>
      <c r="AF184" s="32" t="str">
        <f t="shared" si="182"/>
        <v>236,914774604583</v>
      </c>
      <c r="AG184" s="32" t="str">
        <f t="shared" si="164"/>
        <v>1+0,946705680380776i</v>
      </c>
      <c r="AH184" s="32">
        <f t="shared" si="183"/>
        <v>1.37704453278216</v>
      </c>
      <c r="AI184" s="32">
        <f t="shared" si="184"/>
        <v>0.758028329446073</v>
      </c>
      <c r="AJ184" s="32" t="str">
        <f t="shared" si="165"/>
        <v>1+0,0450324864181127i</v>
      </c>
      <c r="AK184" s="32">
        <f t="shared" si="185"/>
        <v>1.00101344887719</v>
      </c>
      <c r="AL184" s="32">
        <f t="shared" si="186"/>
        <v>0.0450020825710779</v>
      </c>
      <c r="AM184" s="32" t="str">
        <f t="shared" si="166"/>
        <v>1-0,00214063989852755i</v>
      </c>
      <c r="AN184" s="32">
        <f t="shared" si="187"/>
        <v>1.00000229116696</v>
      </c>
      <c r="AO184" s="32">
        <f t="shared" si="188"/>
        <v>-0.00214063662882385</v>
      </c>
      <c r="AP184" s="30" t="str">
        <f t="shared" si="189"/>
        <v>130,023757145243-112,932517323291i</v>
      </c>
      <c r="AQ184" s="32">
        <f t="shared" si="190"/>
        <v>44.7217013476953</v>
      </c>
      <c r="AR184" s="31">
        <f t="shared" si="191"/>
        <v>-40.9760440722933</v>
      </c>
      <c r="AS184" t="str">
        <f t="shared" si="167"/>
        <v>-0,000272527472527473</v>
      </c>
      <c r="AT184" t="str">
        <f t="shared" si="168"/>
        <v>0,000645331613402417i</v>
      </c>
      <c r="AU184">
        <f t="shared" si="192"/>
        <v>0.000645331613402417</v>
      </c>
      <c r="AV184">
        <f t="shared" si="193"/>
        <v>1.5707963267949</v>
      </c>
      <c r="AW184" t="str">
        <f t="shared" si="169"/>
        <v>1+0,0330397949507567i</v>
      </c>
      <c r="AX184">
        <f t="shared" si="194"/>
        <v>1.00054566514997</v>
      </c>
      <c r="AY184">
        <f t="shared" si="195"/>
        <v>0.0330277804300258</v>
      </c>
      <c r="AZ184" t="str">
        <f t="shared" si="170"/>
        <v>1+1,57958338839043i</v>
      </c>
      <c r="BA184">
        <f t="shared" si="196"/>
        <v>1.86951429009756</v>
      </c>
      <c r="BB184">
        <f t="shared" si="197"/>
        <v>1.0064089610535</v>
      </c>
      <c r="BC184" s="30" t="str">
        <f t="shared" si="198"/>
        <v>-0,652402602055571+0,443861341479454i</v>
      </c>
      <c r="BD184" s="32">
        <f t="shared" si="199"/>
        <v>-2.05761555725402</v>
      </c>
      <c r="BE184" s="31">
        <f t="shared" si="200"/>
        <v>145.770633507186</v>
      </c>
      <c r="BF184" s="30" t="str">
        <f t="shared" si="201"/>
        <v>6,65835988124282+17,946992946428i</v>
      </c>
      <c r="BG184" s="68">
        <f t="shared" si="202"/>
        <v>25.6398902210722</v>
      </c>
      <c r="BH184" s="31">
        <f t="shared" si="203"/>
        <v>69.6450746462692</v>
      </c>
      <c r="BI184" s="30" t="str">
        <f t="shared" si="209"/>
        <v>-34,7014588548306+131,389987429087i</v>
      </c>
      <c r="BJ184" s="68">
        <f t="shared" si="204"/>
        <v>42.6640857904413</v>
      </c>
      <c r="BK184" s="31">
        <f t="shared" si="210"/>
        <v>104.794589434893</v>
      </c>
      <c r="BL184" s="32">
        <f t="shared" si="205"/>
        <v>25.6398902210722</v>
      </c>
      <c r="BM184" s="31">
        <f t="shared" si="206"/>
        <v>69.6450746462692</v>
      </c>
      <c r="BO184">
        <f t="shared" si="207"/>
        <v>0</v>
      </c>
      <c r="BP184">
        <f t="shared" si="208"/>
        <v>0</v>
      </c>
    </row>
    <row r="185" spans="14:68">
      <c r="N185" s="7">
        <v>67</v>
      </c>
      <c r="O185" s="18">
        <f t="shared" si="211"/>
        <v>467.735141287198</v>
      </c>
      <c r="P185" s="86" t="str">
        <f t="shared" si="159"/>
        <v>96,0576923076923</v>
      </c>
      <c r="Q185" s="4" t="str">
        <f t="shared" si="160"/>
        <v>1+3,92293473414397i</v>
      </c>
      <c r="R185" s="4">
        <f t="shared" si="171"/>
        <v>4.04838448376056</v>
      </c>
      <c r="S185" s="4">
        <f t="shared" si="172"/>
        <v>1.3212007259978</v>
      </c>
      <c r="T185" s="4" t="str">
        <f t="shared" si="161"/>
        <v>1+0,0460814277766327i</v>
      </c>
      <c r="U185" s="4">
        <f t="shared" si="173"/>
        <v>1.00106118593517</v>
      </c>
      <c r="V185" s="4">
        <f t="shared" si="174"/>
        <v>0.0460488513324881</v>
      </c>
      <c r="W185" t="str">
        <f t="shared" si="162"/>
        <v>1-0,0218782288905499i</v>
      </c>
      <c r="X185" s="4">
        <f t="shared" si="175"/>
        <v>1.00023929981749</v>
      </c>
      <c r="Y185" s="4">
        <f t="shared" si="176"/>
        <v>-0.0218747391709872</v>
      </c>
      <c r="Z185" t="str">
        <f t="shared" si="163"/>
        <v>0,999998214072144+0,0375034464942706i</v>
      </c>
      <c r="AA185" s="4">
        <f t="shared" si="177"/>
        <v>1.00070122246674</v>
      </c>
      <c r="AB185" s="4">
        <f t="shared" si="178"/>
        <v>0.037485945230157</v>
      </c>
      <c r="AC185" s="67" t="str">
        <f t="shared" si="179"/>
        <v>5,55770809169613-23,081958360255i</v>
      </c>
      <c r="AD185" s="68">
        <f t="shared" si="180"/>
        <v>27.5102100785524</v>
      </c>
      <c r="AE185" s="31">
        <f t="shared" si="181"/>
        <v>-76.461937341711</v>
      </c>
      <c r="AF185" s="32" t="str">
        <f t="shared" si="182"/>
        <v>236,914774604583</v>
      </c>
      <c r="AG185" s="32" t="str">
        <f t="shared" si="164"/>
        <v>1+0,968757288486028i</v>
      </c>
      <c r="AH185" s="32">
        <f t="shared" si="183"/>
        <v>1.39229690942514</v>
      </c>
      <c r="AI185" s="32">
        <f t="shared" si="184"/>
        <v>0.769530240296091</v>
      </c>
      <c r="AJ185" s="32" t="str">
        <f t="shared" si="165"/>
        <v>1+0,0460814277766327i</v>
      </c>
      <c r="AK185" s="32">
        <f t="shared" si="185"/>
        <v>1.00106118593517</v>
      </c>
      <c r="AL185" s="32">
        <f t="shared" si="186"/>
        <v>0.0460488513324881</v>
      </c>
      <c r="AM185" s="32" t="str">
        <f t="shared" si="166"/>
        <v>1-0,00219050180715982i</v>
      </c>
      <c r="AN185" s="32">
        <f t="shared" si="187"/>
        <v>1.00000239914621</v>
      </c>
      <c r="AO185" s="32">
        <f t="shared" si="188"/>
        <v>-0.00219049830360964</v>
      </c>
      <c r="AP185" s="30" t="str">
        <f t="shared" si="189"/>
        <v>127,425024794279-113,045512671726i</v>
      </c>
      <c r="AQ185" s="32">
        <f t="shared" si="190"/>
        <v>44.6264390186621</v>
      </c>
      <c r="AR185" s="31">
        <f t="shared" si="191"/>
        <v>-41.5779364517044</v>
      </c>
      <c r="AS185" t="str">
        <f t="shared" si="167"/>
        <v>-0,000272527472527473</v>
      </c>
      <c r="AT185" t="str">
        <f t="shared" si="168"/>
        <v>0,000660363317691924i</v>
      </c>
      <c r="AU185">
        <f t="shared" si="192"/>
        <v>0.000660363317691924</v>
      </c>
      <c r="AV185">
        <f t="shared" si="193"/>
        <v>1.5707963267949</v>
      </c>
      <c r="AW185" t="str">
        <f t="shared" si="169"/>
        <v>1+0,0338093906395022i</v>
      </c>
      <c r="AX185">
        <f t="shared" si="194"/>
        <v>1.00057137421346</v>
      </c>
      <c r="AY185">
        <f t="shared" si="195"/>
        <v>0.0337965172456117</v>
      </c>
      <c r="AZ185" t="str">
        <f t="shared" si="170"/>
        <v>1+1,61637661206301i</v>
      </c>
      <c r="BA185">
        <f t="shared" si="196"/>
        <v>1.90070338349367</v>
      </c>
      <c r="BB185">
        <f t="shared" si="197"/>
        <v>1.01676354049309</v>
      </c>
      <c r="BC185" s="30" t="str">
        <f t="shared" si="198"/>
        <v>-0,652369076322433+0,434749433934318i</v>
      </c>
      <c r="BD185" s="32">
        <f t="shared" si="199"/>
        <v>-2.11412756518691</v>
      </c>
      <c r="BE185" s="31">
        <f t="shared" si="200"/>
        <v>146.319861832618</v>
      </c>
      <c r="BF185" s="30" t="str">
        <f t="shared" si="201"/>
        <v>6,40919143696684+17,4741663020295i</v>
      </c>
      <c r="BG185" s="68">
        <f t="shared" si="202"/>
        <v>25.3960825133655</v>
      </c>
      <c r="BH185" s="31">
        <f t="shared" si="203"/>
        <v>69.8579244909075</v>
      </c>
      <c r="BI185" s="30" t="str">
        <f t="shared" si="209"/>
        <v>-33,9816730825593+129,145354082429i</v>
      </c>
      <c r="BJ185" s="68">
        <f t="shared" si="204"/>
        <v>42.5123114534752</v>
      </c>
      <c r="BK185" s="31">
        <f t="shared" si="210"/>
        <v>104.741925380914</v>
      </c>
      <c r="BL185" s="32">
        <f t="shared" si="205"/>
        <v>25.3960825133655</v>
      </c>
      <c r="BM185" s="31">
        <f t="shared" si="206"/>
        <v>69.8579244909075</v>
      </c>
      <c r="BO185">
        <f t="shared" si="207"/>
        <v>0</v>
      </c>
      <c r="BP185">
        <f t="shared" si="208"/>
        <v>0</v>
      </c>
    </row>
    <row r="186" spans="14:68">
      <c r="N186" s="7">
        <v>68</v>
      </c>
      <c r="O186" s="18">
        <f t="shared" si="211"/>
        <v>478.630092322639</v>
      </c>
      <c r="P186" s="86" t="str">
        <f t="shared" si="159"/>
        <v>96,0576923076923</v>
      </c>
      <c r="Q186" s="4" t="str">
        <f t="shared" si="160"/>
        <v>1+4,01431162262429i</v>
      </c>
      <c r="R186" s="4">
        <f t="shared" si="171"/>
        <v>4.13699139514895</v>
      </c>
      <c r="S186" s="4">
        <f t="shared" si="172"/>
        <v>1.3266566982258</v>
      </c>
      <c r="T186" s="4" t="str">
        <f t="shared" si="161"/>
        <v>1+0,04715480211812i</v>
      </c>
      <c r="U186" s="4">
        <f t="shared" si="173"/>
        <v>1.00111117033165</v>
      </c>
      <c r="V186" s="4">
        <f t="shared" si="174"/>
        <v>0.0471198979214908</v>
      </c>
      <c r="W186" t="str">
        <f t="shared" si="162"/>
        <v>1-0,022387838307214i</v>
      </c>
      <c r="X186" s="4">
        <f t="shared" si="175"/>
        <v>1.0002505762578</v>
      </c>
      <c r="Y186" s="4">
        <f t="shared" si="176"/>
        <v>-0.0223840990559234</v>
      </c>
      <c r="Z186" t="str">
        <f t="shared" si="163"/>
        <v>0,999998129903957+0,0383770139839634i</v>
      </c>
      <c r="AA186" s="4">
        <f t="shared" si="177"/>
        <v>1.00073425793951</v>
      </c>
      <c r="AB186" s="4">
        <f t="shared" si="178"/>
        <v>0.038358261784648</v>
      </c>
      <c r="AC186" s="67" t="str">
        <f t="shared" si="179"/>
        <v>5,30847832334832-22,6192089441417i</v>
      </c>
      <c r="AD186" s="68">
        <f t="shared" si="180"/>
        <v>27.3223976336195</v>
      </c>
      <c r="AE186" s="31">
        <f t="shared" si="181"/>
        <v>-76.7923393029361</v>
      </c>
      <c r="AF186" s="32" t="str">
        <f t="shared" si="182"/>
        <v>236,914774604583</v>
      </c>
      <c r="AG186" s="32" t="str">
        <f t="shared" si="164"/>
        <v>1+0,991322544528658i</v>
      </c>
      <c r="AH186" s="32">
        <f t="shared" si="183"/>
        <v>1.40809104367962</v>
      </c>
      <c r="AI186" s="32">
        <f t="shared" si="184"/>
        <v>0.781040556654896</v>
      </c>
      <c r="AJ186" s="32" t="str">
        <f t="shared" si="165"/>
        <v>1+0,04715480211812i</v>
      </c>
      <c r="AK186" s="32">
        <f t="shared" si="185"/>
        <v>1.00111117033165</v>
      </c>
      <c r="AL186" s="32">
        <f t="shared" si="186"/>
        <v>0.0471198979214908</v>
      </c>
      <c r="AM186" s="32" t="str">
        <f t="shared" si="166"/>
        <v>1-0,00224152514884497i</v>
      </c>
      <c r="AN186" s="32">
        <f t="shared" si="187"/>
        <v>1.00000251221434</v>
      </c>
      <c r="AO186" s="32">
        <f t="shared" si="188"/>
        <v>-0.00224152139472382</v>
      </c>
      <c r="AP186" s="30" t="str">
        <f t="shared" si="189"/>
        <v>124,822492955653-113,098732441279i</v>
      </c>
      <c r="AQ186" s="32">
        <f t="shared" si="190"/>
        <v>44.5288961483981</v>
      </c>
      <c r="AR186" s="31">
        <f t="shared" si="191"/>
        <v>-42.1789859584912</v>
      </c>
      <c r="AS186" t="str">
        <f t="shared" si="167"/>
        <v>-0,000272527472527473</v>
      </c>
      <c r="AT186" t="str">
        <f t="shared" si="168"/>
        <v>0,000675745155353417i</v>
      </c>
      <c r="AU186">
        <f t="shared" si="192"/>
        <v>0.000675745155353417</v>
      </c>
      <c r="AV186">
        <f t="shared" si="193"/>
        <v>1.5707963267949</v>
      </c>
      <c r="AW186" t="str">
        <f t="shared" si="169"/>
        <v>1+0,0345969125146852i</v>
      </c>
      <c r="AX186">
        <f t="shared" si="194"/>
        <v>1.0005982941998</v>
      </c>
      <c r="AY186">
        <f t="shared" si="195"/>
        <v>0.0345831188700333</v>
      </c>
      <c r="AZ186" t="str">
        <f t="shared" si="170"/>
        <v>1+1,65402686001058i</v>
      </c>
      <c r="BA186">
        <f t="shared" si="196"/>
        <v>1.93282302698319</v>
      </c>
      <c r="BB186">
        <f t="shared" si="197"/>
        <v>1.02701224577746</v>
      </c>
      <c r="BC186" s="30" t="str">
        <f t="shared" si="198"/>
        <v>-0,652333974263022+0,425867929554112i</v>
      </c>
      <c r="BD186" s="32">
        <f t="shared" si="199"/>
        <v>-2.16880638875601</v>
      </c>
      <c r="BE186" s="31">
        <f t="shared" si="200"/>
        <v>146.862000437648</v>
      </c>
      <c r="BF186" s="30" t="str">
        <f t="shared" si="201"/>
        <v>6,16989491923457+17,0159891378649i</v>
      </c>
      <c r="BG186" s="68">
        <f t="shared" si="202"/>
        <v>25.1535912448635</v>
      </c>
      <c r="BH186" s="31">
        <f t="shared" si="203"/>
        <v>70.0696611347123</v>
      </c>
      <c r="BI186" s="30" t="str">
        <f t="shared" si="209"/>
        <v>-33,2608298872172+126,936042254336i</v>
      </c>
      <c r="BJ186" s="68">
        <f t="shared" si="204"/>
        <v>42.3600897596421</v>
      </c>
      <c r="BK186" s="31">
        <f t="shared" si="210"/>
        <v>104.683014479157</v>
      </c>
      <c r="BL186" s="32">
        <f t="shared" si="205"/>
        <v>25.1535912448635</v>
      </c>
      <c r="BM186" s="31">
        <f t="shared" si="206"/>
        <v>70.0696611347123</v>
      </c>
      <c r="BO186">
        <f t="shared" si="207"/>
        <v>0</v>
      </c>
      <c r="BP186">
        <f t="shared" si="208"/>
        <v>0</v>
      </c>
    </row>
    <row r="187" spans="14:68">
      <c r="N187" s="7">
        <v>69</v>
      </c>
      <c r="O187" s="18">
        <f t="shared" si="211"/>
        <v>489.778819368446</v>
      </c>
      <c r="P187" s="86" t="str">
        <f t="shared" si="159"/>
        <v>96,0576923076923</v>
      </c>
      <c r="Q187" s="4" t="str">
        <f t="shared" si="160"/>
        <v>1+4,10781695226261i</v>
      </c>
      <c r="R187" s="4">
        <f t="shared" si="171"/>
        <v>4.2277843030713</v>
      </c>
      <c r="S187" s="4">
        <f t="shared" si="172"/>
        <v>1.33200284644079</v>
      </c>
      <c r="T187" s="4" t="str">
        <f t="shared" si="161"/>
        <v>1+0,0482531785598578i</v>
      </c>
      <c r="U187" s="4">
        <f t="shared" si="173"/>
        <v>1.00116350774543</v>
      </c>
      <c r="V187" s="4">
        <f t="shared" si="174"/>
        <v>0.0482157803864438</v>
      </c>
      <c r="W187" t="str">
        <f t="shared" si="162"/>
        <v>1-0,0229093180520867i</v>
      </c>
      <c r="X187" s="4">
        <f t="shared" si="175"/>
        <v>1.00026238400412</v>
      </c>
      <c r="Y187" s="4">
        <f t="shared" si="176"/>
        <v>-0.0229053114289035</v>
      </c>
      <c r="Z187" t="str">
        <f t="shared" si="163"/>
        <v>0,999998041769046+0,0392709294744502i</v>
      </c>
      <c r="AA187" s="4">
        <f t="shared" si="177"/>
        <v>1.00076884915734</v>
      </c>
      <c r="AB187" s="4">
        <f t="shared" si="178"/>
        <v>0.0392508369645016</v>
      </c>
      <c r="AC187" s="67" t="str">
        <f t="shared" si="179"/>
        <v>5,06917910080248-22,1631755903848i</v>
      </c>
      <c r="AD187" s="68">
        <f t="shared" si="180"/>
        <v>27.1340899308401</v>
      </c>
      <c r="AE187" s="31">
        <f t="shared" si="181"/>
        <v>-77.1168656521277</v>
      </c>
      <c r="AF187" s="32" t="str">
        <f t="shared" si="182"/>
        <v>236,914774604583</v>
      </c>
      <c r="AG187" s="32" t="str">
        <f t="shared" si="164"/>
        <v>1+1,0144134129061i</v>
      </c>
      <c r="AH187" s="32">
        <f t="shared" si="183"/>
        <v>1.42444184587641</v>
      </c>
      <c r="AI187" s="32">
        <f t="shared" si="184"/>
        <v>0.792553182745205</v>
      </c>
      <c r="AJ187" s="32" t="str">
        <f t="shared" si="165"/>
        <v>1+0,0482531785598578i</v>
      </c>
      <c r="AK187" s="32">
        <f t="shared" si="185"/>
        <v>1.00116350774543</v>
      </c>
      <c r="AL187" s="32">
        <f t="shared" si="186"/>
        <v>0.0482157803864438</v>
      </c>
      <c r="AM187" s="32" t="str">
        <f t="shared" si="166"/>
        <v>1-0,00229373697683413i</v>
      </c>
      <c r="AN187" s="32">
        <f t="shared" si="187"/>
        <v>1.0000026306112</v>
      </c>
      <c r="AO187" s="32">
        <f t="shared" si="188"/>
        <v>-0.00229373295422142</v>
      </c>
      <c r="AP187" s="30" t="str">
        <f t="shared" si="189"/>
        <v>122,218916578006-113,092037543987i</v>
      </c>
      <c r="AQ187" s="32">
        <f t="shared" si="190"/>
        <v>44.4290715102586</v>
      </c>
      <c r="AR187" s="31">
        <f t="shared" si="191"/>
        <v>-42.7788129064951</v>
      </c>
      <c r="AS187" t="str">
        <f t="shared" si="167"/>
        <v>-0,000272527472527473</v>
      </c>
      <c r="AT187" t="str">
        <f t="shared" si="168"/>
        <v>0,00069148528204082i</v>
      </c>
      <c r="AU187">
        <f t="shared" si="192"/>
        <v>0.00069148528204082</v>
      </c>
      <c r="AV187">
        <f t="shared" si="193"/>
        <v>1.5707963267949</v>
      </c>
      <c r="AW187" t="str">
        <f t="shared" si="169"/>
        <v>1+0,0354027781308276i</v>
      </c>
      <c r="AX187">
        <f t="shared" si="194"/>
        <v>1.00062648210977</v>
      </c>
      <c r="AY187">
        <f t="shared" si="195"/>
        <v>0.03538799847403</v>
      </c>
      <c r="AZ187" t="str">
        <f t="shared" si="170"/>
        <v>1+1,69255409489297i</v>
      </c>
      <c r="BA187">
        <f t="shared" si="196"/>
        <v>1.96589403685421</v>
      </c>
      <c r="BB187">
        <f t="shared" si="197"/>
        <v>1.03715189862175</v>
      </c>
      <c r="BC187" s="30" t="str">
        <f t="shared" si="198"/>
        <v>-0,65229722194301+0,417212111632191i</v>
      </c>
      <c r="BD187" s="32">
        <f t="shared" si="199"/>
        <v>-2.22169078945186</v>
      </c>
      <c r="BE187" s="31">
        <f t="shared" si="200"/>
        <v>147.396843547029</v>
      </c>
      <c r="BF187" s="30" t="str">
        <f t="shared" si="201"/>
        <v>5,94013384355445+16,5719007839307i</v>
      </c>
      <c r="BG187" s="68">
        <f t="shared" si="202"/>
        <v>24.9123991413882</v>
      </c>
      <c r="BH187" s="31">
        <f t="shared" si="203"/>
        <v>70.2799778949014</v>
      </c>
      <c r="BI187" s="30" t="str">
        <f t="shared" si="209"/>
        <v>-32,539691960204+124,760834180726i</v>
      </c>
      <c r="BJ187" s="68">
        <f t="shared" si="204"/>
        <v>42.2073807208068</v>
      </c>
      <c r="BK187" s="31">
        <f t="shared" si="210"/>
        <v>104.618030640534</v>
      </c>
      <c r="BL187" s="32">
        <f t="shared" si="205"/>
        <v>24.9123991413882</v>
      </c>
      <c r="BM187" s="31">
        <f t="shared" si="206"/>
        <v>70.2799778949014</v>
      </c>
      <c r="BO187">
        <f t="shared" si="207"/>
        <v>0</v>
      </c>
      <c r="BP187">
        <f t="shared" si="208"/>
        <v>0</v>
      </c>
    </row>
    <row r="188" spans="14:68">
      <c r="N188" s="7">
        <v>70</v>
      </c>
      <c r="O188" s="18">
        <f t="shared" si="211"/>
        <v>501.187233627273</v>
      </c>
      <c r="P188" s="86" t="str">
        <f t="shared" si="159"/>
        <v>96,0576923076923</v>
      </c>
      <c r="Q188" s="4" t="str">
        <f t="shared" si="160"/>
        <v>1+4,20350030082243i</v>
      </c>
      <c r="R188" s="4">
        <f t="shared" si="171"/>
        <v>4.32081181944022</v>
      </c>
      <c r="S188" s="4">
        <f t="shared" si="172"/>
        <v>1.33724078231491</v>
      </c>
      <c r="T188" s="4" t="str">
        <f t="shared" si="161"/>
        <v>1+0,0493771394755745i</v>
      </c>
      <c r="U188" s="4">
        <f t="shared" si="173"/>
        <v>1.00121830881321</v>
      </c>
      <c r="V188" s="4">
        <f t="shared" si="174"/>
        <v>0.0493370692438767</v>
      </c>
      <c r="W188" t="str">
        <f t="shared" si="162"/>
        <v>1-0,0234429446206313i</v>
      </c>
      <c r="X188" s="4">
        <f t="shared" si="175"/>
        <v>1.00027474808299</v>
      </c>
      <c r="Y188" s="4">
        <f t="shared" si="176"/>
        <v>-0.0234386515102274</v>
      </c>
      <c r="Z188" t="str">
        <f t="shared" si="163"/>
        <v>0,999997949480464+0,0401856669315567i</v>
      </c>
      <c r="AA188" s="4">
        <f t="shared" si="177"/>
        <v>1.00080506932762</v>
      </c>
      <c r="AB188" s="4">
        <f t="shared" si="178"/>
        <v>0.0401641383545137</v>
      </c>
      <c r="AC188" s="67" t="str">
        <f t="shared" si="179"/>
        <v>4,83946711257557-21,7139296258741i</v>
      </c>
      <c r="AD188" s="68">
        <f t="shared" si="180"/>
        <v>26.9453077618117</v>
      </c>
      <c r="AE188" s="31">
        <f t="shared" si="181"/>
        <v>-77.4356186027051</v>
      </c>
      <c r="AF188" s="32" t="str">
        <f t="shared" si="182"/>
        <v>236,914774604583</v>
      </c>
      <c r="AG188" s="32" t="str">
        <f t="shared" si="164"/>
        <v>1+1,03804213670242i</v>
      </c>
      <c r="AH188" s="32">
        <f t="shared" si="183"/>
        <v>1.44136444994655</v>
      </c>
      <c r="AI188" s="32">
        <f t="shared" si="184"/>
        <v>0.804062016672558</v>
      </c>
      <c r="AJ188" s="32" t="str">
        <f t="shared" si="165"/>
        <v>1+0,0493771394755745i</v>
      </c>
      <c r="AK188" s="32">
        <f t="shared" si="185"/>
        <v>1.00121830881321</v>
      </c>
      <c r="AL188" s="32">
        <f t="shared" si="186"/>
        <v>0.0493370692438767</v>
      </c>
      <c r="AM188" s="32" t="str">
        <f t="shared" si="166"/>
        <v>1-0,00234716497452962i</v>
      </c>
      <c r="AN188" s="32">
        <f t="shared" si="187"/>
        <v>1.00000275458791</v>
      </c>
      <c r="AO188" s="32">
        <f t="shared" si="188"/>
        <v>-0.00234716066422308</v>
      </c>
      <c r="AP188" s="30" t="str">
        <f t="shared" si="189"/>
        <v>119,617055034821-113,025447585822i</v>
      </c>
      <c r="AQ188" s="32">
        <f t="shared" si="190"/>
        <v>44.3269663595262</v>
      </c>
      <c r="AR188" s="31">
        <f t="shared" si="191"/>
        <v>-43.3770365807954</v>
      </c>
      <c r="AS188" t="str">
        <f t="shared" si="167"/>
        <v>-0,000272527472527473</v>
      </c>
      <c r="AT188" t="str">
        <f t="shared" si="168"/>
        <v>0,000707592043377653i</v>
      </c>
      <c r="AU188">
        <f t="shared" si="192"/>
        <v>0.000707592043377653</v>
      </c>
      <c r="AV188">
        <f t="shared" si="193"/>
        <v>1.5707963267949</v>
      </c>
      <c r="AW188" t="str">
        <f t="shared" si="169"/>
        <v>1+0,0362274147685463i</v>
      </c>
      <c r="AX188">
        <f t="shared" si="194"/>
        <v>1.00065599762396</v>
      </c>
      <c r="AY188">
        <f t="shared" si="195"/>
        <v>0.0362115786416303</v>
      </c>
      <c r="AZ188" t="str">
        <f t="shared" si="170"/>
        <v>1+1,73197874436007i</v>
      </c>
      <c r="BA188">
        <f t="shared" si="196"/>
        <v>1.99993759175507</v>
      </c>
      <c r="BB188">
        <f t="shared" si="197"/>
        <v>1.04717953483221</v>
      </c>
      <c r="BC188" s="30" t="str">
        <f t="shared" si="198"/>
        <v>-0,65225874197784+0,408777382581456i</v>
      </c>
      <c r="BD188" s="32">
        <f t="shared" si="199"/>
        <v>-2.27282022682511</v>
      </c>
      <c r="BE188" s="31">
        <f t="shared" si="200"/>
        <v>147.924197112687</v>
      </c>
      <c r="BF188" s="30" t="str">
        <f t="shared" si="201"/>
        <v>5,71957858733108+16,1413651205357i</v>
      </c>
      <c r="BG188" s="68">
        <f t="shared" si="202"/>
        <v>24.6724875349866</v>
      </c>
      <c r="BH188" s="31">
        <f t="shared" si="203"/>
        <v>70.4885785099819</v>
      </c>
      <c r="BI188" s="30" t="str">
        <f t="shared" si="209"/>
        <v>-31,8190232068765+122,618582923047i</v>
      </c>
      <c r="BJ188" s="68">
        <f t="shared" si="204"/>
        <v>42.0541461327011</v>
      </c>
      <c r="BK188" s="31">
        <f t="shared" si="210"/>
        <v>104.547160531891</v>
      </c>
      <c r="BL188" s="32">
        <f t="shared" si="205"/>
        <v>24.6724875349866</v>
      </c>
      <c r="BM188" s="31">
        <f t="shared" si="206"/>
        <v>70.4885785099819</v>
      </c>
      <c r="BO188">
        <f t="shared" si="207"/>
        <v>0</v>
      </c>
      <c r="BP188">
        <f t="shared" si="208"/>
        <v>0</v>
      </c>
    </row>
    <row r="189" spans="14:68">
      <c r="N189" s="7">
        <v>71</v>
      </c>
      <c r="O189" s="18">
        <f t="shared" si="211"/>
        <v>512.861383991365</v>
      </c>
      <c r="P189" s="86" t="str">
        <f t="shared" si="159"/>
        <v>96,0576923076923</v>
      </c>
      <c r="Q189" s="4" t="str">
        <f t="shared" si="160"/>
        <v>1+4,30141240088163i</v>
      </c>
      <c r="R189" s="4">
        <f t="shared" si="171"/>
        <v>4.41612371231358</v>
      </c>
      <c r="S189" s="4">
        <f t="shared" si="172"/>
        <v>1.34237213290554</v>
      </c>
      <c r="T189" s="4" t="str">
        <f t="shared" si="161"/>
        <v>1+0,0505272808042247i</v>
      </c>
      <c r="U189" s="4">
        <f t="shared" si="173"/>
        <v>1.00127568936106</v>
      </c>
      <c r="V189" s="4">
        <f t="shared" si="174"/>
        <v>0.0504843477313044</v>
      </c>
      <c r="W189" t="str">
        <f t="shared" si="162"/>
        <v>1-0,0239890009487178i</v>
      </c>
      <c r="X189" s="4">
        <f t="shared" si="175"/>
        <v>1.00028769469914</v>
      </c>
      <c r="Y189" s="4">
        <f t="shared" si="176"/>
        <v>-0.0239844008694944</v>
      </c>
      <c r="Z189" t="str">
        <f t="shared" si="163"/>
        <v>0,999997852842456+0,0411217113611903i</v>
      </c>
      <c r="AA189" s="4">
        <f t="shared" si="177"/>
        <v>1.00084299509703</v>
      </c>
      <c r="AB189" s="4">
        <f t="shared" si="178"/>
        <v>0.0410986441245397</v>
      </c>
      <c r="AC189" s="67" t="str">
        <f t="shared" si="179"/>
        <v>4,6190064825594-21,2715289646393i</v>
      </c>
      <c r="AD189" s="68">
        <f t="shared" si="180"/>
        <v>26.7560712386711</v>
      </c>
      <c r="AE189" s="31">
        <f t="shared" si="181"/>
        <v>-77.7487014910053</v>
      </c>
      <c r="AF189" s="32" t="str">
        <f t="shared" si="182"/>
        <v>236,914774604583</v>
      </c>
      <c r="AG189" s="32" t="str">
        <f t="shared" si="164"/>
        <v>1+1,06222124417972i</v>
      </c>
      <c r="AH189" s="32">
        <f t="shared" si="183"/>
        <v>1.45887421376441</v>
      </c>
      <c r="AI189" s="32">
        <f t="shared" si="184"/>
        <v>0.815560966584241</v>
      </c>
      <c r="AJ189" s="32" t="str">
        <f t="shared" si="165"/>
        <v>1+0,0505272808042247i</v>
      </c>
      <c r="AK189" s="32">
        <f t="shared" si="185"/>
        <v>1.00127568936106</v>
      </c>
      <c r="AL189" s="32">
        <f t="shared" si="186"/>
        <v>0.0504843477313044</v>
      </c>
      <c r="AM189" s="32" t="str">
        <f t="shared" si="166"/>
        <v>1-0,00240183747016299i</v>
      </c>
      <c r="AN189" s="32">
        <f t="shared" si="187"/>
        <v>1.00000288440746</v>
      </c>
      <c r="AO189" s="32">
        <f t="shared" si="188"/>
        <v>-0.00240183285158704</v>
      </c>
      <c r="AP189" s="30" t="str">
        <f t="shared" si="189"/>
        <v>117,019660436654-112,899140742276i</v>
      </c>
      <c r="AQ189" s="32">
        <f t="shared" si="190"/>
        <v>44.2225844341334</v>
      </c>
      <c r="AR189" s="31">
        <f t="shared" si="191"/>
        <v>-43.9732761499042</v>
      </c>
      <c r="AS189" t="str">
        <f t="shared" si="167"/>
        <v>-0,000272527472527473</v>
      </c>
      <c r="AT189" t="str">
        <f t="shared" si="168"/>
        <v>0,00072407397938197i</v>
      </c>
      <c r="AU189">
        <f t="shared" si="192"/>
        <v>0.00072407397938197</v>
      </c>
      <c r="AV189">
        <f t="shared" si="193"/>
        <v>1.5707963267949</v>
      </c>
      <c r="AW189" t="str">
        <f t="shared" si="169"/>
        <v>1+0,0370712596611017i</v>
      </c>
      <c r="AX189">
        <f t="shared" si="194"/>
        <v>1.00068690322841</v>
      </c>
      <c r="AY189">
        <f t="shared" si="195"/>
        <v>0.0370542915744159</v>
      </c>
      <c r="AZ189" t="str">
        <f t="shared" si="170"/>
        <v>1+1,77232171188288i</v>
      </c>
      <c r="BA189">
        <f t="shared" si="196"/>
        <v>2.03497524565078</v>
      </c>
      <c r="BB189">
        <f t="shared" si="197"/>
        <v>1.05709240410672</v>
      </c>
      <c r="BC189" s="30" t="str">
        <f t="shared" si="198"/>
        <v>-0,652218453373445+0,400559261458127i</v>
      </c>
      <c r="BD189" s="32">
        <f t="shared" si="199"/>
        <v>-2.3222347500361</v>
      </c>
      <c r="BE189" s="31">
        <f t="shared" si="200"/>
        <v>148.443878790591</v>
      </c>
      <c r="BF189" s="30" t="str">
        <f t="shared" si="201"/>
        <v>5,50790666798427+15,7238695475298i</v>
      </c>
      <c r="BG189" s="68">
        <f t="shared" si="202"/>
        <v>24.433836488635</v>
      </c>
      <c r="BH189" s="31">
        <f t="shared" si="203"/>
        <v>70.695177299586</v>
      </c>
      <c r="BI189" s="30" t="str">
        <f t="shared" si="209"/>
        <v>-31,099585509297+120,508211722705i</v>
      </c>
      <c r="BJ189" s="68">
        <f t="shared" si="204"/>
        <v>41.9003496840973</v>
      </c>
      <c r="BK189" s="31">
        <f t="shared" si="210"/>
        <v>104.470602640687</v>
      </c>
      <c r="BL189" s="32">
        <f t="shared" si="205"/>
        <v>24.433836488635</v>
      </c>
      <c r="BM189" s="31">
        <f t="shared" si="206"/>
        <v>70.695177299586</v>
      </c>
      <c r="BO189">
        <f t="shared" si="207"/>
        <v>0</v>
      </c>
      <c r="BP189">
        <f t="shared" si="208"/>
        <v>0</v>
      </c>
    </row>
    <row r="190" spans="14:68">
      <c r="N190" s="7">
        <v>72</v>
      </c>
      <c r="O190" s="18">
        <f t="shared" si="211"/>
        <v>524.807460249772</v>
      </c>
      <c r="P190" s="86" t="str">
        <f t="shared" si="159"/>
        <v>96,0576923076923</v>
      </c>
      <c r="Q190" s="4" t="str">
        <f t="shared" si="160"/>
        <v>1+4,4016051667317i</v>
      </c>
      <c r="R190" s="4">
        <f t="shared" si="171"/>
        <v>4.51377093390872</v>
      </c>
      <c r="S190" s="4">
        <f t="shared" si="172"/>
        <v>1.34739853754527</v>
      </c>
      <c r="T190" s="4" t="str">
        <f t="shared" si="161"/>
        <v>1+0,051704212365965i</v>
      </c>
      <c r="U190" s="4">
        <f t="shared" si="173"/>
        <v>1.00133577064658</v>
      </c>
      <c r="V190" s="4">
        <f t="shared" si="174"/>
        <v>0.0516582120632828</v>
      </c>
      <c r="W190" t="str">
        <f t="shared" si="162"/>
        <v>1-0,0245477765626393i</v>
      </c>
      <c r="X190" s="4">
        <f t="shared" si="175"/>
        <v>1.00030125129091</v>
      </c>
      <c r="Y190" s="4">
        <f t="shared" si="176"/>
        <v>-0.0245428475691154</v>
      </c>
      <c r="Z190" t="str">
        <f t="shared" si="163"/>
        <v>0,999997751650038+0,0420795590664979i</v>
      </c>
      <c r="AA190" s="4">
        <f t="shared" si="177"/>
        <v>1.00088270671261</v>
      </c>
      <c r="AB190" s="4">
        <f t="shared" si="178"/>
        <v>0.0420548432542728</v>
      </c>
      <c r="AC190" s="67" t="str">
        <f t="shared" si="179"/>
        <v>4,40746900938573-20,836018900927i</v>
      </c>
      <c r="AD190" s="68">
        <f t="shared" si="180"/>
        <v>26.5663998109457</v>
      </c>
      <c r="AE190" s="31">
        <f t="shared" si="181"/>
        <v>-78.056218604523</v>
      </c>
      <c r="AF190" s="32" t="str">
        <f t="shared" si="182"/>
        <v>236,914774604583</v>
      </c>
      <c r="AG190" s="32" t="str">
        <f t="shared" si="164"/>
        <v>1+1,08696355542085i</v>
      </c>
      <c r="AH190" s="32">
        <f t="shared" si="183"/>
        <v>1.47698671991766</v>
      </c>
      <c r="AI190" s="32">
        <f t="shared" si="184"/>
        <v>0.827043966763445</v>
      </c>
      <c r="AJ190" s="32" t="str">
        <f t="shared" si="165"/>
        <v>1+0,051704212365965i</v>
      </c>
      <c r="AK190" s="32">
        <f t="shared" si="185"/>
        <v>1.00133577064658</v>
      </c>
      <c r="AL190" s="32">
        <f t="shared" si="186"/>
        <v>0.0516582120632828</v>
      </c>
      <c r="AM190" s="32" t="str">
        <f t="shared" si="166"/>
        <v>1-0,00245778345181512i</v>
      </c>
      <c r="AN190" s="32">
        <f t="shared" si="187"/>
        <v>1.00000302034519</v>
      </c>
      <c r="AO190" s="32">
        <f t="shared" si="188"/>
        <v>-0.00245777850292264</v>
      </c>
      <c r="AP190" s="30" t="str">
        <f t="shared" si="189"/>
        <v>114,429466008639-112,713452611383i</v>
      </c>
      <c r="AQ190" s="32">
        <f t="shared" si="190"/>
        <v>44.1159319451601</v>
      </c>
      <c r="AR190" s="31">
        <f t="shared" si="191"/>
        <v>-44.5671515740809</v>
      </c>
      <c r="AS190" t="str">
        <f t="shared" si="167"/>
        <v>-0,000272527472527473</v>
      </c>
      <c r="AT190" t="str">
        <f t="shared" si="168"/>
        <v>0,000740939828994409i</v>
      </c>
      <c r="AU190">
        <f t="shared" si="192"/>
        <v>0.000740939828994409</v>
      </c>
      <c r="AV190">
        <f t="shared" si="193"/>
        <v>1.5707963267949</v>
      </c>
      <c r="AW190" t="str">
        <f t="shared" si="169"/>
        <v>1+0,0379347602262255i</v>
      </c>
      <c r="AX190">
        <f t="shared" si="194"/>
        <v>1.00071926434611</v>
      </c>
      <c r="AY190">
        <f t="shared" si="195"/>
        <v>0.0379165792994825</v>
      </c>
      <c r="AZ190" t="str">
        <f t="shared" si="170"/>
        <v>1+1,81360438783678i</v>
      </c>
      <c r="BA190">
        <f t="shared" si="196"/>
        <v>2.0710289412707</v>
      </c>
      <c r="BB190">
        <f t="shared" si="197"/>
        <v>1.06688796903002</v>
      </c>
      <c r="BC190" s="30" t="str">
        <f t="shared" si="198"/>
        <v>-0,652176271359728+0,392553381544657i</v>
      </c>
      <c r="BD190" s="32">
        <f t="shared" si="199"/>
        <v>-2.3699748921396</v>
      </c>
      <c r="BE190" s="31">
        <f t="shared" si="200"/>
        <v>148.955717871271</v>
      </c>
      <c r="BF190" s="30" t="str">
        <f t="shared" si="201"/>
        <v>5,30480297281254+15,318923980475i</v>
      </c>
      <c r="BG190" s="68">
        <f t="shared" si="202"/>
        <v>24.196424918806</v>
      </c>
      <c r="BH190" s="31">
        <f t="shared" si="203"/>
        <v>70.8994992667475</v>
      </c>
      <c r="BI190" s="30" t="str">
        <f t="shared" si="209"/>
        <v>-30,3821355070271+118,428713086214i</v>
      </c>
      <c r="BJ190" s="68">
        <f t="shared" si="204"/>
        <v>41.7459570530205</v>
      </c>
      <c r="BK190" s="31">
        <f t="shared" si="210"/>
        <v>104.38856629719</v>
      </c>
      <c r="BL190" s="32">
        <f t="shared" si="205"/>
        <v>24.196424918806</v>
      </c>
      <c r="BM190" s="31">
        <f t="shared" si="206"/>
        <v>70.8994992667475</v>
      </c>
      <c r="BO190">
        <f t="shared" si="207"/>
        <v>0</v>
      </c>
      <c r="BP190">
        <f t="shared" si="208"/>
        <v>0</v>
      </c>
    </row>
    <row r="191" spans="14:68">
      <c r="N191" s="7">
        <v>73</v>
      </c>
      <c r="O191" s="18">
        <f t="shared" si="211"/>
        <v>537.031796370253</v>
      </c>
      <c r="P191" s="86" t="str">
        <f t="shared" si="159"/>
        <v>96,0576923076923</v>
      </c>
      <c r="Q191" s="4" t="str">
        <f t="shared" si="160"/>
        <v>1+4,50413172190331i</v>
      </c>
      <c r="R191" s="4">
        <f t="shared" si="171"/>
        <v>4.61380564916379</v>
      </c>
      <c r="S191" s="4">
        <f t="shared" si="172"/>
        <v>1.35232164491859</v>
      </c>
      <c r="T191" s="4" t="str">
        <f t="shared" si="161"/>
        <v>1+0,0529085581854879i</v>
      </c>
      <c r="U191" s="4">
        <f t="shared" si="173"/>
        <v>1.0013986796123</v>
      </c>
      <c r="V191" s="4">
        <f t="shared" si="174"/>
        <v>0.0528592716905927</v>
      </c>
      <c r="W191" t="str">
        <f t="shared" si="162"/>
        <v>1-0,0251195677326226i</v>
      </c>
      <c r="X191" s="4">
        <f t="shared" si="175"/>
        <v>1.00031544658826</v>
      </c>
      <c r="Y191" s="4">
        <f t="shared" si="176"/>
        <v>-0.0251142863108545</v>
      </c>
      <c r="Z191" t="str">
        <f t="shared" si="163"/>
        <v>0,999997645688569+0,0430597179110114i</v>
      </c>
      <c r="AA191" s="4">
        <f t="shared" si="177"/>
        <v>1.0009242881903</v>
      </c>
      <c r="AB191" s="4">
        <f t="shared" si="178"/>
        <v>0.0430332357617146</v>
      </c>
      <c r="AC191" s="67" t="str">
        <f t="shared" si="179"/>
        <v>4,20453435929662-20,4074328785262i</v>
      </c>
      <c r="AD191" s="68">
        <f t="shared" si="180"/>
        <v>26.3763122829065</v>
      </c>
      <c r="AE191" s="31">
        <f t="shared" si="181"/>
        <v>-78.3582750210507</v>
      </c>
      <c r="AF191" s="32" t="str">
        <f t="shared" si="182"/>
        <v>236,914774604583</v>
      </c>
      <c r="AG191" s="32" t="str">
        <f t="shared" si="164"/>
        <v>1+1,11228218912673i</v>
      </c>
      <c r="AH191" s="32">
        <f t="shared" si="183"/>
        <v>1.49571777693807</v>
      </c>
      <c r="AI191" s="32">
        <f t="shared" si="184"/>
        <v>0.838504993555054</v>
      </c>
      <c r="AJ191" s="32" t="str">
        <f t="shared" si="165"/>
        <v>1+0,0529085581854879i</v>
      </c>
      <c r="AK191" s="32">
        <f t="shared" si="185"/>
        <v>1.0013986796123</v>
      </c>
      <c r="AL191" s="32">
        <f t="shared" si="186"/>
        <v>0.0528592716905927</v>
      </c>
      <c r="AM191" s="32" t="str">
        <f t="shared" si="166"/>
        <v>1-0,00251503258278602i</v>
      </c>
      <c r="AN191" s="32">
        <f t="shared" si="187"/>
        <v>1.00000316268945</v>
      </c>
      <c r="AO191" s="32">
        <f t="shared" si="188"/>
        <v>-0.00251502727995309</v>
      </c>
      <c r="AP191" s="30" t="str">
        <f t="shared" si="189"/>
        <v>111,849174637342-112,468874057946i</v>
      </c>
      <c r="AQ191" s="32">
        <f t="shared" si="190"/>
        <v>44.0070175572132</v>
      </c>
      <c r="AR191" s="31">
        <f t="shared" si="191"/>
        <v>-45.1582845038441</v>
      </c>
      <c r="AS191" t="str">
        <f t="shared" si="167"/>
        <v>-0,000272527472527473</v>
      </c>
      <c r="AT191" t="str">
        <f t="shared" si="168"/>
        <v>0,00075819853471168i</v>
      </c>
      <c r="AU191">
        <f t="shared" si="192"/>
        <v>0.00075819853471168</v>
      </c>
      <c r="AV191">
        <f t="shared" si="193"/>
        <v>1.5707963267949</v>
      </c>
      <c r="AW191" t="str">
        <f t="shared" si="169"/>
        <v>1+0,0388183743033473i</v>
      </c>
      <c r="AX191">
        <f t="shared" si="194"/>
        <v>1.00075314947471</v>
      </c>
      <c r="AY191">
        <f t="shared" si="195"/>
        <v>0.0387988938811041</v>
      </c>
      <c r="AZ191" t="str">
        <f t="shared" si="170"/>
        <v>1+1,855848660843i</v>
      </c>
      <c r="BA191">
        <f t="shared" si="196"/>
        <v>2.10812102402892</v>
      </c>
      <c r="BB191">
        <f t="shared" si="197"/>
        <v>1.07656390331137</v>
      </c>
      <c r="BC191" s="30" t="str">
        <f t="shared" si="198"/>
        <v>-0,652132107216544+0,384755487990284i</v>
      </c>
      <c r="BD191" s="32">
        <f t="shared" si="199"/>
        <v>-2.41608156756316</v>
      </c>
      <c r="BE191" s="31">
        <f t="shared" si="200"/>
        <v>149.459555166708</v>
      </c>
      <c r="BF191" s="30" t="str">
        <f t="shared" si="201"/>
        <v>5,10995994421385+14,9260598751366i</v>
      </c>
      <c r="BG191" s="68">
        <f t="shared" si="202"/>
        <v>23.9602307153434</v>
      </c>
      <c r="BH191" s="31">
        <f t="shared" si="203"/>
        <v>71.1012801456576</v>
      </c>
      <c r="BI191" s="30" t="str">
        <f t="shared" si="209"/>
        <v>-29,6674214247983+116,379147604581i</v>
      </c>
      <c r="BJ191" s="68">
        <f t="shared" si="204"/>
        <v>41.59093598965</v>
      </c>
      <c r="BK191" s="31">
        <f t="shared" si="210"/>
        <v>104.301270662864</v>
      </c>
      <c r="BL191" s="32">
        <f t="shared" si="205"/>
        <v>23.9602307153434</v>
      </c>
      <c r="BM191" s="31">
        <f t="shared" si="206"/>
        <v>71.1012801456576</v>
      </c>
      <c r="BO191">
        <f t="shared" si="207"/>
        <v>0</v>
      </c>
      <c r="BP191">
        <f t="shared" si="208"/>
        <v>0</v>
      </c>
    </row>
    <row r="192" spans="14:68">
      <c r="N192" s="7">
        <v>74</v>
      </c>
      <c r="O192" s="18">
        <f t="shared" si="211"/>
        <v>549.540873857625</v>
      </c>
      <c r="P192" s="86" t="str">
        <f t="shared" si="159"/>
        <v>96,0576923076923</v>
      </c>
      <c r="Q192" s="4" t="str">
        <f t="shared" si="160"/>
        <v>1+4,60904642733311i</v>
      </c>
      <c r="R192" s="4">
        <f t="shared" si="171"/>
        <v>4.71628126486452</v>
      </c>
      <c r="S192" s="4">
        <f t="shared" si="172"/>
        <v>1.35714311031925</v>
      </c>
      <c r="T192" s="4" t="str">
        <f t="shared" si="161"/>
        <v>1+0,0541409568228884i</v>
      </c>
      <c r="U192" s="4">
        <f t="shared" si="173"/>
        <v>1.00146454915074</v>
      </c>
      <c r="V192" s="4">
        <f t="shared" si="174"/>
        <v>0.0540881495624304</v>
      </c>
      <c r="W192" t="str">
        <f t="shared" si="162"/>
        <v>1-0,0257046776299144i</v>
      </c>
      <c r="X192" s="4">
        <f t="shared" si="175"/>
        <v>1.00033031067346</v>
      </c>
      <c r="Y192" s="4">
        <f t="shared" si="176"/>
        <v>-0.0256990185854501</v>
      </c>
      <c r="Z192" t="str">
        <f t="shared" si="163"/>
        <v>0,999997534733289+0,0440627075879241i</v>
      </c>
      <c r="AA192" s="4">
        <f t="shared" si="177"/>
        <v>1.00096782749129</v>
      </c>
      <c r="AB192" s="4">
        <f t="shared" si="178"/>
        <v>0.0440343329353187</v>
      </c>
      <c r="AC192" s="67" t="str">
        <f t="shared" si="179"/>
        <v>4,00989021615502-19,9857932350918i</v>
      </c>
      <c r="AD192" s="68">
        <f t="shared" si="180"/>
        <v>26.1858268313307</v>
      </c>
      <c r="AE192" s="31">
        <f t="shared" si="181"/>
        <v>-78.6549764583932</v>
      </c>
      <c r="AF192" s="32" t="str">
        <f t="shared" si="182"/>
        <v>236,914774604583</v>
      </c>
      <c r="AG192" s="32" t="str">
        <f t="shared" si="164"/>
        <v>1+1,13819056957208i</v>
      </c>
      <c r="AH192" s="32">
        <f t="shared" si="183"/>
        <v>1.51508342102434</v>
      </c>
      <c r="AI192" s="32">
        <f t="shared" si="184"/>
        <v>0.849938081021645</v>
      </c>
      <c r="AJ192" s="32" t="str">
        <f t="shared" si="165"/>
        <v>1+0,0541409568228884i</v>
      </c>
      <c r="AK192" s="32">
        <f t="shared" si="185"/>
        <v>1.00146454915074</v>
      </c>
      <c r="AL192" s="32">
        <f t="shared" si="186"/>
        <v>0.0540881495624304</v>
      </c>
      <c r="AM192" s="32" t="str">
        <f t="shared" si="166"/>
        <v>1-0,0025736152173227i</v>
      </c>
      <c r="AN192" s="32">
        <f t="shared" si="187"/>
        <v>1.00000331174216</v>
      </c>
      <c r="AO192" s="32">
        <f t="shared" si="188"/>
        <v>-0.00257360953523586</v>
      </c>
      <c r="AP192" s="30" t="str">
        <f t="shared" si="189"/>
        <v>109,281447688397-112,166048074677i</v>
      </c>
      <c r="AQ192" s="32">
        <f t="shared" si="190"/>
        <v>43.8958523588882</v>
      </c>
      <c r="AR192" s="31">
        <f t="shared" si="191"/>
        <v>-45.7462991628723</v>
      </c>
      <c r="AS192" t="str">
        <f t="shared" si="167"/>
        <v>-0,000272527472527473</v>
      </c>
      <c r="AT192" t="str">
        <f t="shared" si="168"/>
        <v>0,000775859247327998i</v>
      </c>
      <c r="AU192">
        <f t="shared" si="192"/>
        <v>0.000775859247327998</v>
      </c>
      <c r="AV192">
        <f t="shared" si="193"/>
        <v>1.5707963267949</v>
      </c>
      <c r="AW192" t="str">
        <f t="shared" si="169"/>
        <v>1+0,0397225703963466i</v>
      </c>
      <c r="AX192">
        <f t="shared" si="194"/>
        <v>1.00078863033055</v>
      </c>
      <c r="AY192">
        <f t="shared" si="195"/>
        <v>0.0397016976361079</v>
      </c>
      <c r="AZ192" t="str">
        <f t="shared" si="170"/>
        <v>1+1,89907692937427i</v>
      </c>
      <c r="BA192">
        <f t="shared" si="196"/>
        <v>2.14627425639912</v>
      </c>
      <c r="BB192">
        <f t="shared" si="197"/>
        <v>1.0861180893151</v>
      </c>
      <c r="BC192" s="30" t="str">
        <f t="shared" si="198"/>
        <v>-0,652085868091876+0,37716143550778i</v>
      </c>
      <c r="BD192" s="32">
        <f t="shared" si="199"/>
        <v>-2.46059597318492</v>
      </c>
      <c r="BE192" s="31">
        <f t="shared" si="200"/>
        <v>149.955242856515</v>
      </c>
      <c r="BF192" s="30" t="str">
        <f t="shared" si="201"/>
        <v>4,92307772375434+14,5448292813632i</v>
      </c>
      <c r="BG192" s="68">
        <f t="shared" si="202"/>
        <v>23.7252308581457</v>
      </c>
      <c r="BH192" s="31">
        <f t="shared" si="203"/>
        <v>71.3002663981217</v>
      </c>
      <c r="BI192" s="30" t="str">
        <f t="shared" si="209"/>
        <v>-28,9561799751455+114,358642513735i</v>
      </c>
      <c r="BJ192" s="68">
        <f t="shared" si="204"/>
        <v>41.4352563857032</v>
      </c>
      <c r="BK192" s="31">
        <f t="shared" si="210"/>
        <v>104.208943693643</v>
      </c>
      <c r="BL192" s="32">
        <f t="shared" si="205"/>
        <v>23.7252308581457</v>
      </c>
      <c r="BM192" s="31">
        <f t="shared" si="206"/>
        <v>71.3002663981217</v>
      </c>
      <c r="BO192">
        <f t="shared" si="207"/>
        <v>0</v>
      </c>
      <c r="BP192">
        <f t="shared" si="208"/>
        <v>0</v>
      </c>
    </row>
    <row r="193" spans="14:68">
      <c r="N193" s="7">
        <v>75</v>
      </c>
      <c r="O193" s="18">
        <f t="shared" si="211"/>
        <v>562.341325190349</v>
      </c>
      <c r="P193" s="86" t="str">
        <f t="shared" si="159"/>
        <v>96,0576923076923</v>
      </c>
      <c r="Q193" s="4" t="str">
        <f t="shared" si="160"/>
        <v>1+4,71640491018662i</v>
      </c>
      <c r="R193" s="4">
        <f t="shared" si="171"/>
        <v>4.82125245935457</v>
      </c>
      <c r="S193" s="4">
        <f t="shared" si="172"/>
        <v>1.36186459308255</v>
      </c>
      <c r="T193" s="4" t="str">
        <f t="shared" si="161"/>
        <v>1+0,0554020617122365i</v>
      </c>
      <c r="U193" s="4">
        <f t="shared" si="173"/>
        <v>1.00153351838167</v>
      </c>
      <c r="V193" s="4">
        <f t="shared" si="174"/>
        <v>0.0553454823914633</v>
      </c>
      <c r="W193" t="str">
        <f t="shared" si="162"/>
        <v>1-0,0263034164875273i</v>
      </c>
      <c r="X193" s="4">
        <f t="shared" si="175"/>
        <v>1.00034587504468</v>
      </c>
      <c r="Y193" s="4">
        <f t="shared" si="176"/>
        <v>-0.026297352825363</v>
      </c>
      <c r="Z193" t="str">
        <f t="shared" si="163"/>
        <v>0,999997418548849+0,0450890598956387i</v>
      </c>
      <c r="AA193" s="4">
        <f t="shared" si="177"/>
        <v>1.00101341670661</v>
      </c>
      <c r="AB193" s="4">
        <f t="shared" si="178"/>
        <v>0.0450586575697752</v>
      </c>
      <c r="AC193" s="67" t="str">
        <f t="shared" si="179"/>
        <v>3,82323239209274-19,5711119205115i</v>
      </c>
      <c r="AD193" s="68">
        <f t="shared" si="180"/>
        <v>25.9949610235905</v>
      </c>
      <c r="AE193" s="31">
        <f t="shared" si="181"/>
        <v>-78.946429134318</v>
      </c>
      <c r="AF193" s="32" t="str">
        <f t="shared" si="182"/>
        <v>236,914774604583</v>
      </c>
      <c r="AG193" s="32" t="str">
        <f t="shared" si="164"/>
        <v>1+1,16470243372315i</v>
      </c>
      <c r="AH193" s="32">
        <f t="shared" si="183"/>
        <v>1.53509991828566</v>
      </c>
      <c r="AI193" s="32">
        <f t="shared" si="184"/>
        <v>0.861337336231374</v>
      </c>
      <c r="AJ193" s="32" t="str">
        <f t="shared" si="165"/>
        <v>1+0,0554020617122365i</v>
      </c>
      <c r="AK193" s="32">
        <f t="shared" si="185"/>
        <v>1.00153351838167</v>
      </c>
      <c r="AL193" s="32">
        <f t="shared" si="186"/>
        <v>0.0553454823914633</v>
      </c>
      <c r="AM193" s="32" t="str">
        <f t="shared" si="166"/>
        <v>1-0,00263356241671343i</v>
      </c>
      <c r="AN193" s="32">
        <f t="shared" si="187"/>
        <v>1.00000346781949</v>
      </c>
      <c r="AO193" s="32">
        <f t="shared" si="188"/>
        <v>-0.00263355632824883</v>
      </c>
      <c r="AP193" s="30" t="str">
        <f t="shared" si="189"/>
        <v>106,728894192274-111,805765697502i</v>
      </c>
      <c r="AQ193" s="32">
        <f t="shared" si="190"/>
        <v>43.7824498235985</v>
      </c>
      <c r="AR193" s="31">
        <f t="shared" si="191"/>
        <v>-46.3308232096708</v>
      </c>
      <c r="AS193" t="str">
        <f t="shared" si="167"/>
        <v>-0,000272527472527473</v>
      </c>
      <c r="AT193" t="str">
        <f t="shared" si="168"/>
        <v>0,000793931330786961i</v>
      </c>
      <c r="AU193">
        <f t="shared" si="192"/>
        <v>0.000793931330786961</v>
      </c>
      <c r="AV193">
        <f t="shared" si="193"/>
        <v>1.5707963267949</v>
      </c>
      <c r="AW193" t="str">
        <f t="shared" si="169"/>
        <v>1+0,0406478279219604i</v>
      </c>
      <c r="AX193">
        <f t="shared" si="194"/>
        <v>1.00082578199943</v>
      </c>
      <c r="AY193">
        <f t="shared" si="195"/>
        <v>0.0406254633529619</v>
      </c>
      <c r="AZ193" t="str">
        <f t="shared" si="170"/>
        <v>1+1,94331211363074i</v>
      </c>
      <c r="BA193">
        <f t="shared" si="196"/>
        <v>2.18551183272568</v>
      </c>
      <c r="BB193">
        <f t="shared" si="197"/>
        <v>1.0955486149369</v>
      </c>
      <c r="BC193" s="30" t="str">
        <f t="shared" si="198"/>
        <v>-0,652037456811823+0,369767186124973i</v>
      </c>
      <c r="BD193" s="32">
        <f t="shared" si="199"/>
        <v>-2.50355949336444</v>
      </c>
      <c r="BE193" s="31">
        <f t="shared" si="200"/>
        <v>150.442644296399</v>
      </c>
      <c r="BF193" s="30" t="str">
        <f t="shared" si="201"/>
        <v>4,74386425844372+14,1748039271559i</v>
      </c>
      <c r="BG193" s="68">
        <f t="shared" si="202"/>
        <v>23.4914015302261</v>
      </c>
      <c r="BH193" s="31">
        <f t="shared" si="203"/>
        <v>71.4962151620811</v>
      </c>
      <c r="BI193" s="30" t="str">
        <f t="shared" si="209"/>
        <v>-28,2491333629551+112,366390006005i</v>
      </c>
      <c r="BJ193" s="68">
        <f t="shared" si="204"/>
        <v>41.2788903302341</v>
      </c>
      <c r="BK193" s="31">
        <f t="shared" si="210"/>
        <v>104.111821086728</v>
      </c>
      <c r="BL193" s="32">
        <f t="shared" si="205"/>
        <v>23.4914015302261</v>
      </c>
      <c r="BM193" s="31">
        <f t="shared" si="206"/>
        <v>71.4962151620811</v>
      </c>
      <c r="BO193">
        <f t="shared" si="207"/>
        <v>0</v>
      </c>
      <c r="BP193">
        <f t="shared" si="208"/>
        <v>0</v>
      </c>
    </row>
    <row r="194" spans="14:68">
      <c r="N194" s="7">
        <v>76</v>
      </c>
      <c r="O194" s="18">
        <f t="shared" si="211"/>
        <v>575.439937337157</v>
      </c>
      <c r="P194" s="86" t="str">
        <f t="shared" si="159"/>
        <v>96,0576923076923</v>
      </c>
      <c r="Q194" s="4" t="str">
        <f t="shared" si="160"/>
        <v>1+4,82626409335251i</v>
      </c>
      <c r="R194" s="4">
        <f t="shared" si="171"/>
        <v>4.92877521284789</v>
      </c>
      <c r="S194" s="4">
        <f t="shared" si="172"/>
        <v>1.36648775418589</v>
      </c>
      <c r="T194" s="4" t="str">
        <f t="shared" si="161"/>
        <v>1+0,0566925415080376i</v>
      </c>
      <c r="U194" s="4">
        <f t="shared" si="173"/>
        <v>1.00160573294218</v>
      </c>
      <c r="V194" s="4">
        <f t="shared" si="174"/>
        <v>0.0566319209215935</v>
      </c>
      <c r="W194" t="str">
        <f t="shared" si="162"/>
        <v>1-0,0269161017647288i</v>
      </c>
      <c r="X194" s="4">
        <f t="shared" si="175"/>
        <v>1.00036217268258</v>
      </c>
      <c r="Y194" s="4">
        <f t="shared" si="176"/>
        <v>-0.0269096045606978</v>
      </c>
      <c r="Z194" t="str">
        <f t="shared" si="163"/>
        <v>0,999997296888804+0,0461393190197343i</v>
      </c>
      <c r="AA194" s="4">
        <f t="shared" si="177"/>
        <v>1.00106115225021</v>
      </c>
      <c r="AB194" s="4">
        <f t="shared" si="178"/>
        <v>0.0461067442053986</v>
      </c>
      <c r="AC194" s="67" t="str">
        <f t="shared" si="179"/>
        <v>3,64426490214235-19,1633911886165i</v>
      </c>
      <c r="AD194" s="68">
        <f t="shared" si="180"/>
        <v>25.8037318359945</v>
      </c>
      <c r="AE194" s="31">
        <f t="shared" si="181"/>
        <v>-79.2327396363884</v>
      </c>
      <c r="AF194" s="32" t="str">
        <f t="shared" si="182"/>
        <v>236,914774604583</v>
      </c>
      <c r="AG194" s="32" t="str">
        <f t="shared" si="164"/>
        <v>1+1,19183183852124i</v>
      </c>
      <c r="AH194" s="32">
        <f t="shared" si="183"/>
        <v>1.55578376753099</v>
      </c>
      <c r="AI194" s="32">
        <f t="shared" si="184"/>
        <v>0.872696954083793</v>
      </c>
      <c r="AJ194" s="32" t="str">
        <f t="shared" si="165"/>
        <v>1+0,0566925415080376i</v>
      </c>
      <c r="AK194" s="32">
        <f t="shared" si="185"/>
        <v>1.00160573294218</v>
      </c>
      <c r="AL194" s="32">
        <f t="shared" si="186"/>
        <v>0.0566319209215935</v>
      </c>
      <c r="AM194" s="32" t="str">
        <f t="shared" si="166"/>
        <v>1-0,00269490596575682i</v>
      </c>
      <c r="AN194" s="32">
        <f t="shared" si="187"/>
        <v>1.00000363125249</v>
      </c>
      <c r="AO194" s="32">
        <f t="shared" si="188"/>
        <v>-0.00269489944185074</v>
      </c>
      <c r="AP194" s="30" t="str">
        <f t="shared" si="189"/>
        <v>104,194060489919-111,388961023014i</v>
      </c>
      <c r="AQ194" s="32">
        <f t="shared" si="190"/>
        <v>43.6668257611449</v>
      </c>
      <c r="AR194" s="31">
        <f t="shared" si="191"/>
        <v>-46.9114885726279</v>
      </c>
      <c r="AS194" t="str">
        <f t="shared" si="167"/>
        <v>-0,000272527472527473</v>
      </c>
      <c r="AT194" t="str">
        <f t="shared" si="168"/>
        <v>0,00081242436714643i</v>
      </c>
      <c r="AU194">
        <f t="shared" si="192"/>
        <v>0.00081242436714643</v>
      </c>
      <c r="AV194">
        <f t="shared" si="193"/>
        <v>1.5707963267949</v>
      </c>
      <c r="AW194" t="str">
        <f t="shared" si="169"/>
        <v>1+0,0415946374639761i</v>
      </c>
      <c r="AX194">
        <f t="shared" si="194"/>
        <v>1.00086468309445</v>
      </c>
      <c r="AY194">
        <f t="shared" si="195"/>
        <v>0.041570674514568</v>
      </c>
      <c r="AZ194" t="str">
        <f t="shared" si="170"/>
        <v>1+1,98857766769264i</v>
      </c>
      <c r="BA194">
        <f t="shared" si="196"/>
        <v>2.22585739445408</v>
      </c>
      <c r="BB194">
        <f t="shared" si="197"/>
        <v>1.10485376988014</v>
      </c>
      <c r="BC194" s="30" t="str">
        <f t="shared" si="198"/>
        <v>-0,65198677168214+0,362568806989583i</v>
      </c>
      <c r="BD194" s="32">
        <f t="shared" si="199"/>
        <v>-2.54501360922649</v>
      </c>
      <c r="BE194" s="31">
        <f t="shared" si="200"/>
        <v>150.921633792053</v>
      </c>
      <c r="BF194" s="30" t="str">
        <f t="shared" si="201"/>
        <v>4,57203537242905+13,8155743334718i</v>
      </c>
      <c r="BG194" s="68">
        <f t="shared" si="202"/>
        <v>23.258718226768</v>
      </c>
      <c r="BH194" s="31">
        <f t="shared" si="203"/>
        <v>71.688894155665</v>
      </c>
      <c r="BI194" s="30" t="str">
        <f t="shared" si="209"/>
        <v>-27,5469864173526+110,401645305653i</v>
      </c>
      <c r="BJ194" s="68">
        <f t="shared" si="204"/>
        <v>41.1218121519184</v>
      </c>
      <c r="BK194" s="31">
        <f t="shared" si="210"/>
        <v>104.010145219426</v>
      </c>
      <c r="BL194" s="32">
        <f t="shared" si="205"/>
        <v>23.258718226768</v>
      </c>
      <c r="BM194" s="31">
        <f t="shared" si="206"/>
        <v>71.688894155665</v>
      </c>
      <c r="BO194">
        <f t="shared" si="207"/>
        <v>0</v>
      </c>
      <c r="BP194">
        <f t="shared" si="208"/>
        <v>0</v>
      </c>
    </row>
    <row r="195" spans="14:68">
      <c r="N195" s="7">
        <v>77</v>
      </c>
      <c r="O195" s="18">
        <f t="shared" si="211"/>
        <v>588.84365535559</v>
      </c>
      <c r="P195" s="86" t="str">
        <f t="shared" si="159"/>
        <v>96,0576923076923</v>
      </c>
      <c r="Q195" s="4" t="str">
        <f t="shared" si="160"/>
        <v>1+4,93868222562385i</v>
      </c>
      <c r="R195" s="4">
        <f t="shared" si="171"/>
        <v>5.03890683836216</v>
      </c>
      <c r="S195" s="4">
        <f t="shared" si="172"/>
        <v>1.37101425401142</v>
      </c>
      <c r="T195" s="4" t="str">
        <f t="shared" si="161"/>
        <v>1+0,0580130804397606i</v>
      </c>
      <c r="U195" s="4">
        <f t="shared" si="173"/>
        <v>1.00168134529006</v>
      </c>
      <c r="V195" s="4">
        <f t="shared" si="174"/>
        <v>0.0579481301982487</v>
      </c>
      <c r="W195" t="str">
        <f t="shared" si="162"/>
        <v>1-0,0275430583153626i</v>
      </c>
      <c r="X195" s="4">
        <f t="shared" si="175"/>
        <v>1.00037923811991</v>
      </c>
      <c r="Y195" s="4">
        <f t="shared" si="176"/>
        <v>-0.0275360965783462</v>
      </c>
      <c r="Z195" t="str">
        <f t="shared" si="163"/>
        <v>0,999997169495098+0,0472140418215003i</v>
      </c>
      <c r="AA195" s="4">
        <f t="shared" si="177"/>
        <v>1.0011111350611</v>
      </c>
      <c r="AB195" s="4">
        <f t="shared" si="178"/>
        <v>0.0471791393710684</v>
      </c>
      <c r="AC195" s="67" t="str">
        <f t="shared" si="179"/>
        <v>3,47270000604386-18,7626242617749i</v>
      </c>
      <c r="AD195" s="68">
        <f t="shared" si="180"/>
        <v>25.61215567231</v>
      </c>
      <c r="AE195" s="31">
        <f t="shared" si="181"/>
        <v>-79.5140148013227</v>
      </c>
      <c r="AF195" s="32" t="str">
        <f t="shared" si="182"/>
        <v>236,914774604583</v>
      </c>
      <c r="AG195" s="32" t="str">
        <f t="shared" si="164"/>
        <v>1+1,21959316833588i</v>
      </c>
      <c r="AH195" s="32">
        <f t="shared" si="183"/>
        <v>1.57715170362637</v>
      </c>
      <c r="AI195" s="32">
        <f t="shared" si="184"/>
        <v>0.884011231585084</v>
      </c>
      <c r="AJ195" s="32" t="str">
        <f t="shared" si="165"/>
        <v>1+0,0580130804397606i</v>
      </c>
      <c r="AK195" s="32">
        <f t="shared" si="185"/>
        <v>1.00168134529006</v>
      </c>
      <c r="AL195" s="32">
        <f t="shared" si="186"/>
        <v>0.0579481301982487</v>
      </c>
      <c r="AM195" s="32" t="str">
        <f t="shared" si="166"/>
        <v>1-0,00275767838961455i</v>
      </c>
      <c r="AN195" s="32">
        <f t="shared" si="187"/>
        <v>1.00000380238782</v>
      </c>
      <c r="AO195" s="32">
        <f t="shared" si="188"/>
        <v>-0.00275767139912467</v>
      </c>
      <c r="AP195" s="30" t="str">
        <f t="shared" si="189"/>
        <v>101,679420423131-110,916705386006i</v>
      </c>
      <c r="AQ195" s="32">
        <f t="shared" si="190"/>
        <v>43.5489982604729</v>
      </c>
      <c r="AR195" s="31">
        <f t="shared" si="191"/>
        <v>-47.4879322534068</v>
      </c>
      <c r="AS195" t="str">
        <f t="shared" si="167"/>
        <v>-0,000272527472527473</v>
      </c>
      <c r="AT195" t="str">
        <f t="shared" si="168"/>
        <v>0,00083134816165907i</v>
      </c>
      <c r="AU195">
        <f t="shared" si="192"/>
        <v>0.00083134816165907</v>
      </c>
      <c r="AV195">
        <f t="shared" si="193"/>
        <v>1.5707963267949</v>
      </c>
      <c r="AW195" t="str">
        <f t="shared" si="169"/>
        <v>1+0,0425635010333452i</v>
      </c>
      <c r="AX195">
        <f t="shared" si="194"/>
        <v>1.00090541592111</v>
      </c>
      <c r="AY195">
        <f t="shared" si="195"/>
        <v>0.0425378255247484</v>
      </c>
      <c r="AZ195" t="str">
        <f t="shared" si="170"/>
        <v>1+2,03489759195589i</v>
      </c>
      <c r="BA195">
        <f t="shared" si="196"/>
        <v>2.26733504576361</v>
      </c>
      <c r="BB195">
        <f t="shared" si="197"/>
        <v>1.1140320413875</v>
      </c>
      <c r="BC195" s="30" t="str">
        <f t="shared" si="198"/>
        <v>-0,651933706280865+0,355562468225993i</v>
      </c>
      <c r="BD195" s="32">
        <f t="shared" si="199"/>
        <v>-2.58499981244764</v>
      </c>
      <c r="BE195" s="31">
        <f t="shared" si="200"/>
        <v>151.392096341615</v>
      </c>
      <c r="BF195" s="30" t="str">
        <f t="shared" si="201"/>
        <v>4,40731480717183+13,4667489600916i</v>
      </c>
      <c r="BG195" s="68">
        <f t="shared" si="202"/>
        <v>23.0271558598623</v>
      </c>
      <c r="BH195" s="31">
        <f t="shared" si="203"/>
        <v>71.8780815402926</v>
      </c>
      <c r="BI195" s="30" t="str">
        <f t="shared" si="209"/>
        <v>-26,8504238743985+108,463724524199i</v>
      </c>
      <c r="BJ195" s="68">
        <f t="shared" si="204"/>
        <v>40.9639984480253</v>
      </c>
      <c r="BK195" s="31">
        <f t="shared" si="210"/>
        <v>103.904164088208</v>
      </c>
      <c r="BL195" s="32">
        <f t="shared" si="205"/>
        <v>23.0271558598623</v>
      </c>
      <c r="BM195" s="31">
        <f t="shared" si="206"/>
        <v>71.8780815402926</v>
      </c>
      <c r="BO195">
        <f t="shared" si="207"/>
        <v>0</v>
      </c>
      <c r="BP195">
        <f t="shared" si="208"/>
        <v>0</v>
      </c>
    </row>
    <row r="196" spans="14:68">
      <c r="N196" s="7">
        <v>78</v>
      </c>
      <c r="O196" s="18">
        <f t="shared" si="211"/>
        <v>602.559586074358</v>
      </c>
      <c r="P196" s="86" t="str">
        <f t="shared" si="159"/>
        <v>96,0576923076923</v>
      </c>
      <c r="Q196" s="4" t="str">
        <f t="shared" si="160"/>
        <v>1+5,0537189125824i</v>
      </c>
      <c r="R196" s="4">
        <f t="shared" si="171"/>
        <v>5.1517060132924</v>
      </c>
      <c r="S196" s="4">
        <f t="shared" si="172"/>
        <v>1.37544575026418</v>
      </c>
      <c r="T196" s="4" t="str">
        <f t="shared" si="161"/>
        <v>1+0,0593643786746267i</v>
      </c>
      <c r="U196" s="4">
        <f t="shared" si="173"/>
        <v>1.00176051502114</v>
      </c>
      <c r="V196" s="4">
        <f t="shared" si="174"/>
        <v>0.0592947898410081</v>
      </c>
      <c r="W196" t="str">
        <f t="shared" si="162"/>
        <v>1-0,0281846185600907i</v>
      </c>
      <c r="X196" s="4">
        <f t="shared" si="175"/>
        <v>1.0003971075145</v>
      </c>
      <c r="Y196" s="4">
        <f t="shared" si="176"/>
        <v>-0.0281771590843962</v>
      </c>
      <c r="Z196" t="str">
        <f t="shared" si="163"/>
        <v>0,999997036097512+0,0483137981331917i</v>
      </c>
      <c r="AA196" s="4">
        <f t="shared" si="177"/>
        <v>1.00116347081476</v>
      </c>
      <c r="AB196" s="4">
        <f t="shared" si="178"/>
        <v>0.0482764018306663</v>
      </c>
      <c r="AC196" s="67" t="str">
        <f t="shared" si="179"/>
        <v>3,3082582202552-18,368795968114i</v>
      </c>
      <c r="AD196" s="68">
        <f t="shared" si="180"/>
        <v>25.4202483824063</v>
      </c>
      <c r="AE196" s="31">
        <f t="shared" si="181"/>
        <v>-79.7903616035169</v>
      </c>
      <c r="AF196" s="32" t="str">
        <f t="shared" si="182"/>
        <v>236,914774604583</v>
      </c>
      <c r="AG196" s="32" t="str">
        <f t="shared" si="164"/>
        <v>1+1,24800114259158i</v>
      </c>
      <c r="AH196" s="32">
        <f t="shared" si="183"/>
        <v>1.59922070143864</v>
      </c>
      <c r="AI196" s="32">
        <f t="shared" si="184"/>
        <v>0.895274581490468</v>
      </c>
      <c r="AJ196" s="32" t="str">
        <f t="shared" si="165"/>
        <v>1+0,0593643786746267i</v>
      </c>
      <c r="AK196" s="32">
        <f t="shared" si="185"/>
        <v>1.00176051502114</v>
      </c>
      <c r="AL196" s="32">
        <f t="shared" si="186"/>
        <v>0.0592947898410081</v>
      </c>
      <c r="AM196" s="32" t="str">
        <f t="shared" si="166"/>
        <v>1-0,00282191297105664i</v>
      </c>
      <c r="AN196" s="32">
        <f t="shared" si="187"/>
        <v>1.00000398158848</v>
      </c>
      <c r="AO196" s="32">
        <f t="shared" si="188"/>
        <v>-0.0028219054806134</v>
      </c>
      <c r="AP196" s="30" t="str">
        <f t="shared" si="189"/>
        <v>99,1873661465374-110,390200763779i</v>
      </c>
      <c r="AQ196" s="32">
        <f t="shared" si="190"/>
        <v>43.4289876241405</v>
      </c>
      <c r="AR196" s="31">
        <f t="shared" si="191"/>
        <v>-48.0597970939638</v>
      </c>
      <c r="AS196" t="str">
        <f t="shared" si="167"/>
        <v>-0,000272527472527473</v>
      </c>
      <c r="AT196" t="str">
        <f t="shared" si="168"/>
        <v>0,000850712747971213i</v>
      </c>
      <c r="AU196">
        <f t="shared" si="192"/>
        <v>0.000850712747971213</v>
      </c>
      <c r="AV196">
        <f t="shared" si="193"/>
        <v>1.5707963267949</v>
      </c>
      <c r="AW196" t="str">
        <f t="shared" si="169"/>
        <v>1+0,0435549323343568i</v>
      </c>
      <c r="AX196">
        <f t="shared" si="194"/>
        <v>1.00094806665014</v>
      </c>
      <c r="AY196">
        <f t="shared" si="195"/>
        <v>0.0435274219384088</v>
      </c>
      <c r="AZ196" t="str">
        <f t="shared" si="170"/>
        <v>1+2,08229644585744i</v>
      </c>
      <c r="BA196">
        <f t="shared" si="196"/>
        <v>2.30996936958708</v>
      </c>
      <c r="BB196">
        <f t="shared" si="197"/>
        <v>1.1230821094832</v>
      </c>
      <c r="BC196" s="30" t="str">
        <f t="shared" si="198"/>
        <v>-0,651878149241739+0,348744440842528i</v>
      </c>
      <c r="BD196" s="32">
        <f t="shared" si="199"/>
        <v>-2.62355952374372</v>
      </c>
      <c r="BE196" s="31">
        <f t="shared" si="200"/>
        <v>151.853927349881</v>
      </c>
      <c r="BF196" s="30" t="str">
        <f t="shared" si="201"/>
        <v>4,24943423301667+13,1279533826789i</v>
      </c>
      <c r="BG196" s="68">
        <f t="shared" si="202"/>
        <v>22.7966888586626</v>
      </c>
      <c r="BH196" s="31">
        <f t="shared" si="203"/>
        <v>72.0635657463642</v>
      </c>
      <c r="BI196" s="30" t="str">
        <f t="shared" si="209"/>
        <v>-26,160107831909+106,552002313734i</v>
      </c>
      <c r="BJ196" s="68">
        <f t="shared" si="204"/>
        <v>40.8054281003968</v>
      </c>
      <c r="BK196" s="31">
        <f t="shared" si="210"/>
        <v>103.794130255917</v>
      </c>
      <c r="BL196" s="32">
        <f t="shared" si="205"/>
        <v>22.7966888586626</v>
      </c>
      <c r="BM196" s="31">
        <f t="shared" si="206"/>
        <v>72.0635657463642</v>
      </c>
      <c r="BO196">
        <f t="shared" si="207"/>
        <v>0</v>
      </c>
      <c r="BP196">
        <f t="shared" si="208"/>
        <v>0</v>
      </c>
    </row>
    <row r="197" spans="14:68">
      <c r="N197" s="7">
        <v>79</v>
      </c>
      <c r="O197" s="18">
        <f t="shared" si="211"/>
        <v>616.595001861483</v>
      </c>
      <c r="P197" s="86" t="str">
        <f t="shared" si="159"/>
        <v>96,0576923076923</v>
      </c>
      <c r="Q197" s="4" t="str">
        <f t="shared" si="160"/>
        <v>1+5,17143514820229i</v>
      </c>
      <c r="R197" s="4">
        <f t="shared" si="171"/>
        <v>5.26723281164427</v>
      </c>
      <c r="S197" s="4">
        <f t="shared" si="172"/>
        <v>1.37978389603915</v>
      </c>
      <c r="T197" s="4" t="str">
        <f t="shared" si="161"/>
        <v>1+0,0607471526888466i</v>
      </c>
      <c r="U197" s="4">
        <f t="shared" si="173"/>
        <v>1.00184340920116</v>
      </c>
      <c r="V197" s="4">
        <f t="shared" si="174"/>
        <v>0.0606725943183385</v>
      </c>
      <c r="W197" t="str">
        <f t="shared" si="162"/>
        <v>1-0,0288411226626469i</v>
      </c>
      <c r="X197" s="4">
        <f t="shared" si="175"/>
        <v>1.00041581872561</v>
      </c>
      <c r="Y197" s="4">
        <f t="shared" si="176"/>
        <v>-0.0288331298698531</v>
      </c>
      <c r="Z197" t="str">
        <f t="shared" si="163"/>
        <v>0,999996896413091+0,049439171060162i</v>
      </c>
      <c r="AA197" s="4">
        <f t="shared" si="177"/>
        <v>1.00121827014439</v>
      </c>
      <c r="AB197" s="4">
        <f t="shared" si="178"/>
        <v>0.0493991028329379</v>
      </c>
      <c r="AC197" s="67" t="str">
        <f t="shared" si="179"/>
        <v>3,15066830303236-17,9818833513i</v>
      </c>
      <c r="AD197" s="68">
        <f t="shared" si="180"/>
        <v>25.2280252809615</v>
      </c>
      <c r="AE197" s="31">
        <f t="shared" si="181"/>
        <v>-80.0618870523661</v>
      </c>
      <c r="AF197" s="32" t="str">
        <f t="shared" si="182"/>
        <v>236,914774604583</v>
      </c>
      <c r="AG197" s="32" t="str">
        <f t="shared" si="164"/>
        <v>1+1,27707082357234i</v>
      </c>
      <c r="AH197" s="32">
        <f t="shared" si="183"/>
        <v>1.62200798038103</v>
      </c>
      <c r="AI197" s="32">
        <f t="shared" si="184"/>
        <v>0.906481545238875</v>
      </c>
      <c r="AJ197" s="32" t="str">
        <f t="shared" si="165"/>
        <v>1+0,0607471526888466i</v>
      </c>
      <c r="AK197" s="32">
        <f t="shared" si="185"/>
        <v>1.00184340920116</v>
      </c>
      <c r="AL197" s="32">
        <f t="shared" si="186"/>
        <v>0.0606725943183385</v>
      </c>
      <c r="AM197" s="32" t="str">
        <f t="shared" si="166"/>
        <v>1-0,00288764376810843i</v>
      </c>
      <c r="AN197" s="32">
        <f t="shared" si="187"/>
        <v>1.00000416923457</v>
      </c>
      <c r="AO197" s="32">
        <f t="shared" si="188"/>
        <v>-0.0028876357419557</v>
      </c>
      <c r="AP197" s="30" t="str">
        <f t="shared" si="189"/>
        <v>96,7201996289717-109,810772481564i</v>
      </c>
      <c r="AQ197" s="32">
        <f t="shared" si="190"/>
        <v>43.3068162950799</v>
      </c>
      <c r="AR197" s="31">
        <f t="shared" si="191"/>
        <v>-48.6267325029198</v>
      </c>
      <c r="AS197" t="str">
        <f t="shared" si="167"/>
        <v>-0,000272527472527473</v>
      </c>
      <c r="AT197" t="str">
        <f t="shared" si="168"/>
        <v>0,000870528393442846i</v>
      </c>
      <c r="AU197">
        <f t="shared" si="192"/>
        <v>0.000870528393442846</v>
      </c>
      <c r="AV197">
        <f t="shared" si="193"/>
        <v>1.5707963267949</v>
      </c>
      <c r="AW197" t="str">
        <f t="shared" si="169"/>
        <v>1+0,0445694570370098i</v>
      </c>
      <c r="AX197">
        <f t="shared" si="194"/>
        <v>1.00099272549833</v>
      </c>
      <c r="AY197">
        <f t="shared" si="195"/>
        <v>0.0445399806953478</v>
      </c>
      <c r="AZ197" t="str">
        <f t="shared" si="170"/>
        <v>1+2,13079936089704i</v>
      </c>
      <c r="BA197">
        <f t="shared" si="196"/>
        <v>2.35378544400275</v>
      </c>
      <c r="BB197">
        <f t="shared" si="197"/>
        <v>1.1320028417811</v>
      </c>
      <c r="BC197" s="30" t="str">
        <f t="shared" si="198"/>
        <v>-0,651819984028043+0,342111094687879i</v>
      </c>
      <c r="BD197" s="32">
        <f t="shared" si="199"/>
        <v>-2.66073401620897</v>
      </c>
      <c r="BE197" s="31">
        <f t="shared" si="200"/>
        <v>152.307032317435</v>
      </c>
      <c r="BF197" s="30" t="str">
        <f t="shared" si="201"/>
        <v>4,09813323490278+12,7988295009873i</v>
      </c>
      <c r="BG197" s="68">
        <f t="shared" si="202"/>
        <v>22.5672912647525</v>
      </c>
      <c r="BH197" s="31">
        <f t="shared" si="203"/>
        <v>72.2451452650684</v>
      </c>
      <c r="BI197" s="30" t="str">
        <f t="shared" si="209"/>
        <v>-25,476675395156+104,665909338538i</v>
      </c>
      <c r="BJ197" s="68">
        <f t="shared" si="204"/>
        <v>40.6460822788709</v>
      </c>
      <c r="BK197" s="31">
        <f t="shared" si="210"/>
        <v>103.680299814515</v>
      </c>
      <c r="BL197" s="32">
        <f t="shared" si="205"/>
        <v>22.5672912647525</v>
      </c>
      <c r="BM197" s="31">
        <f t="shared" si="206"/>
        <v>72.2451452650684</v>
      </c>
      <c r="BO197">
        <f t="shared" si="207"/>
        <v>0</v>
      </c>
      <c r="BP197">
        <f t="shared" si="208"/>
        <v>0</v>
      </c>
    </row>
    <row r="198" spans="14:68">
      <c r="N198" s="7">
        <v>80</v>
      </c>
      <c r="O198" s="18">
        <f t="shared" si="211"/>
        <v>630.957344480193</v>
      </c>
      <c r="P198" s="86" t="str">
        <f t="shared" si="159"/>
        <v>96,0576923076923</v>
      </c>
      <c r="Q198" s="4" t="str">
        <f t="shared" si="160"/>
        <v>1+5,29189334718978i</v>
      </c>
      <c r="R198" s="4">
        <f t="shared" si="171"/>
        <v>5.385548736947</v>
      </c>
      <c r="S198" s="4">
        <f t="shared" si="172"/>
        <v>1.38403033803076</v>
      </c>
      <c r="T198" s="4" t="str">
        <f t="shared" si="161"/>
        <v>1+0,0621621356475056i</v>
      </c>
      <c r="U198" s="4">
        <f t="shared" si="173"/>
        <v>1.00193020271287</v>
      </c>
      <c r="V198" s="4">
        <f t="shared" si="174"/>
        <v>0.0620822532242008</v>
      </c>
      <c r="W198" t="str">
        <f t="shared" si="162"/>
        <v>1-0,0295129187101962i</v>
      </c>
      <c r="X198" s="4">
        <f t="shared" si="175"/>
        <v>1.00043541139386</v>
      </c>
      <c r="Y198" s="4">
        <f t="shared" si="176"/>
        <v>-0.0295043544797163</v>
      </c>
      <c r="Z198" t="str">
        <f t="shared" si="163"/>
        <v>0,999996750145546+0,0505907572900332i</v>
      </c>
      <c r="AA198" s="4">
        <f t="shared" si="177"/>
        <v>1.00127564887239</v>
      </c>
      <c r="AB198" s="4">
        <f t="shared" si="178"/>
        <v>0.050547826364699</v>
      </c>
      <c r="AC198" s="67" t="str">
        <f t="shared" si="179"/>
        <v>2,99966721528061-17,601856252971i</v>
      </c>
      <c r="AD198" s="68">
        <f t="shared" si="180"/>
        <v>25.0355011661825</v>
      </c>
      <c r="AE198" s="31">
        <f t="shared" si="181"/>
        <v>-80.3286980980211</v>
      </c>
      <c r="AF198" s="32" t="str">
        <f t="shared" si="182"/>
        <v>236,914774604583</v>
      </c>
      <c r="AG198" s="32" t="str">
        <f t="shared" si="164"/>
        <v>1+1,30681762440779i</v>
      </c>
      <c r="AH198" s="32">
        <f t="shared" si="183"/>
        <v>1.64553100957193</v>
      </c>
      <c r="AI198" s="32">
        <f t="shared" si="184"/>
        <v>0.917626805112655</v>
      </c>
      <c r="AJ198" s="32" t="str">
        <f t="shared" si="165"/>
        <v>1+0,0621621356475056i</v>
      </c>
      <c r="AK198" s="32">
        <f t="shared" si="185"/>
        <v>1.00193020271287</v>
      </c>
      <c r="AL198" s="32">
        <f t="shared" si="186"/>
        <v>0.0620822532242008</v>
      </c>
      <c r="AM198" s="32" t="str">
        <f t="shared" si="166"/>
        <v>1-0,00295490563210854i</v>
      </c>
      <c r="AN198" s="32">
        <f t="shared" si="187"/>
        <v>1.00000436572412</v>
      </c>
      <c r="AO198" s="32">
        <f t="shared" si="188"/>
        <v>-0.00295489703193297</v>
      </c>
      <c r="AP198" s="30" t="str">
        <f t="shared" si="189"/>
        <v>94,2801249023175-109,179861299657i</v>
      </c>
      <c r="AQ198" s="32">
        <f t="shared" si="190"/>
        <v>43.1825087762965</v>
      </c>
      <c r="AR198" s="31">
        <f t="shared" si="191"/>
        <v>-49.1883951374452</v>
      </c>
      <c r="AS198" t="str">
        <f t="shared" si="167"/>
        <v>-0,000272527472527473</v>
      </c>
      <c r="AT198" t="str">
        <f t="shared" si="168"/>
        <v>0,000890805604591486i</v>
      </c>
      <c r="AU198">
        <f t="shared" si="192"/>
        <v>0.000890805604591486</v>
      </c>
      <c r="AV198">
        <f t="shared" si="193"/>
        <v>1.5707963267949</v>
      </c>
      <c r="AW198" t="str">
        <f t="shared" si="169"/>
        <v>1+0,0456076130557302i</v>
      </c>
      <c r="AX198">
        <f t="shared" si="194"/>
        <v>1.00103948691779</v>
      </c>
      <c r="AY198">
        <f t="shared" si="195"/>
        <v>0.0455760303576809</v>
      </c>
      <c r="AZ198" t="str">
        <f t="shared" si="170"/>
        <v>1+2,18043205396225i</v>
      </c>
      <c r="BA198">
        <f t="shared" si="196"/>
        <v>2.39880885898523</v>
      </c>
      <c r="BB198">
        <f t="shared" si="197"/>
        <v>1.14079328791281</v>
      </c>
      <c r="BC198" s="30" t="str">
        <f t="shared" si="198"/>
        <v>-0,651759088696378+0,335658896455228i</v>
      </c>
      <c r="BD198" s="32">
        <f t="shared" si="199"/>
        <v>-2.69656434361345</v>
      </c>
      <c r="BE198" s="31">
        <f t="shared" si="200"/>
        <v>152.751326507801</v>
      </c>
      <c r="BF198" s="30" t="str">
        <f t="shared" si="201"/>
        <v>3,95315927481211+12,479034778015i</v>
      </c>
      <c r="BG198" s="68">
        <f t="shared" si="202"/>
        <v>22.338936822569</v>
      </c>
      <c r="BH198" s="31">
        <f t="shared" si="203"/>
        <v>72.4226284097803</v>
      </c>
      <c r="BI198" s="30" t="str">
        <f t="shared" si="209"/>
        <v>-24,8007365295374+102,804929587034i</v>
      </c>
      <c r="BJ198" s="68">
        <f t="shared" si="204"/>
        <v>40.485944432683</v>
      </c>
      <c r="BK198" s="31">
        <f t="shared" si="210"/>
        <v>103.562931370356</v>
      </c>
      <c r="BL198" s="32">
        <f t="shared" si="205"/>
        <v>22.338936822569</v>
      </c>
      <c r="BM198" s="31">
        <f t="shared" si="206"/>
        <v>72.4226284097803</v>
      </c>
      <c r="BO198">
        <f t="shared" si="207"/>
        <v>0</v>
      </c>
      <c r="BP198">
        <f t="shared" si="208"/>
        <v>0</v>
      </c>
    </row>
    <row r="199" spans="14:68">
      <c r="N199" s="7">
        <v>81</v>
      </c>
      <c r="O199" s="18">
        <f t="shared" si="211"/>
        <v>645.654229034656</v>
      </c>
      <c r="P199" s="86" t="str">
        <f t="shared" si="159"/>
        <v>96,0576923076923</v>
      </c>
      <c r="Q199" s="4" t="str">
        <f t="shared" si="160"/>
        <v>1+5,41515737807644i</v>
      </c>
      <c r="R199" s="4">
        <f t="shared" si="171"/>
        <v>5.50671675586603</v>
      </c>
      <c r="S199" s="4">
        <f t="shared" si="172"/>
        <v>1.3881867148782</v>
      </c>
      <c r="T199" s="4" t="str">
        <f t="shared" si="161"/>
        <v>1+0,0636100777932982i</v>
      </c>
      <c r="U199" s="4">
        <f t="shared" si="173"/>
        <v>1.00202107861904</v>
      </c>
      <c r="V199" s="4">
        <f t="shared" si="174"/>
        <v>0.063524491556258</v>
      </c>
      <c r="W199" t="str">
        <f t="shared" si="162"/>
        <v>1-0,0302003628978953i</v>
      </c>
      <c r="X199" s="4">
        <f t="shared" si="175"/>
        <v>1.00045592702486</v>
      </c>
      <c r="Y199" s="4">
        <f t="shared" si="176"/>
        <v>-0.0301911863854526</v>
      </c>
      <c r="Z199" t="str">
        <f t="shared" si="163"/>
        <v>0,999996596984625+0,0517691674090674i</v>
      </c>
      <c r="AA199" s="4">
        <f t="shared" si="177"/>
        <v>1.00133572825255</v>
      </c>
      <c r="AB199" s="4">
        <f t="shared" si="178"/>
        <v>0.051723169407289</v>
      </c>
      <c r="AC199" s="67" t="str">
        <f t="shared" si="179"/>
        <v>2,85500005971439-17,2286778680549i</v>
      </c>
      <c r="AD199" s="68">
        <f t="shared" si="180"/>
        <v>24.8426903384943</v>
      </c>
      <c r="AE199" s="31">
        <f t="shared" si="181"/>
        <v>-80.5909015452207</v>
      </c>
      <c r="AF199" s="32" t="str">
        <f t="shared" si="182"/>
        <v>236,914774604583</v>
      </c>
      <c r="AG199" s="32" t="str">
        <f t="shared" si="164"/>
        <v>1+1,33725731724547i</v>
      </c>
      <c r="AH199" s="32">
        <f t="shared" si="183"/>
        <v>1.66980751361543</v>
      </c>
      <c r="AI199" s="32">
        <f t="shared" si="184"/>
        <v>0.928705195563809</v>
      </c>
      <c r="AJ199" s="32" t="str">
        <f t="shared" si="165"/>
        <v>1+0,0636100777932982i</v>
      </c>
      <c r="AK199" s="32">
        <f t="shared" si="185"/>
        <v>1.00202107861904</v>
      </c>
      <c r="AL199" s="32">
        <f t="shared" si="186"/>
        <v>0.063524491556258</v>
      </c>
      <c r="AM199" s="32" t="str">
        <f t="shared" si="166"/>
        <v>1-0,0030237342261876i</v>
      </c>
      <c r="AN199" s="32">
        <f t="shared" si="187"/>
        <v>1.00000457147389</v>
      </c>
      <c r="AO199" s="32">
        <f t="shared" si="188"/>
        <v>-0.00302372501093572</v>
      </c>
      <c r="AP199" s="30" t="str">
        <f t="shared" si="189"/>
        <v>91,8692411054832-108,499014967778i</v>
      </c>
      <c r="AQ199" s="32">
        <f t="shared" si="190"/>
        <v>43.056091544191</v>
      </c>
      <c r="AR199" s="31">
        <f t="shared" si="191"/>
        <v>-49.7444495373248</v>
      </c>
      <c r="AS199" t="str">
        <f t="shared" si="167"/>
        <v>-0,000272527472527473</v>
      </c>
      <c r="AT199" t="str">
        <f t="shared" si="168"/>
        <v>0,000911555132662889i</v>
      </c>
      <c r="AU199">
        <f t="shared" si="192"/>
        <v>0.000911555132662889</v>
      </c>
      <c r="AV199">
        <f t="shared" si="193"/>
        <v>1.5707963267949</v>
      </c>
      <c r="AW199" t="str">
        <f t="shared" si="169"/>
        <v>1+0,0466699508345809i</v>
      </c>
      <c r="AX199">
        <f t="shared" si="194"/>
        <v>1.00108844979397</v>
      </c>
      <c r="AY199">
        <f t="shared" si="195"/>
        <v>0.046636111350833</v>
      </c>
      <c r="AZ199" t="str">
        <f t="shared" si="170"/>
        <v>1+2,2312208409639i</v>
      </c>
      <c r="BA199">
        <f t="shared" si="196"/>
        <v>2.44506573350322</v>
      </c>
      <c r="BB199">
        <f t="shared" si="197"/>
        <v>1.14945267362907</v>
      </c>
      <c r="BC199" s="30" t="str">
        <f t="shared" si="198"/>
        <v>-0,651695335650052+0,329384407732781i</v>
      </c>
      <c r="BD199" s="32">
        <f t="shared" si="199"/>
        <v>-2.73109127371994</v>
      </c>
      <c r="BE199" s="31">
        <f t="shared" si="200"/>
        <v>153.186734595669</v>
      </c>
      <c r="BF199" s="30" t="str">
        <f t="shared" si="201"/>
        <v>3,81426763339165+12,1682415097747i</v>
      </c>
      <c r="BG199" s="68">
        <f t="shared" si="202"/>
        <v>22.1115990647743</v>
      </c>
      <c r="BH199" s="31">
        <f t="shared" si="203"/>
        <v>72.5958330504487</v>
      </c>
      <c r="BI199" s="30" t="str">
        <f t="shared" si="209"/>
        <v>-24,1328721334017+100,968597547516i</v>
      </c>
      <c r="BJ199" s="68">
        <f t="shared" si="204"/>
        <v>40.3250002704711</v>
      </c>
      <c r="BK199" s="31">
        <f t="shared" si="210"/>
        <v>103.442285058345</v>
      </c>
      <c r="BL199" s="32">
        <f t="shared" si="205"/>
        <v>22.1115990647743</v>
      </c>
      <c r="BM199" s="31">
        <f t="shared" si="206"/>
        <v>72.5958330504487</v>
      </c>
      <c r="BO199">
        <f t="shared" si="207"/>
        <v>0</v>
      </c>
      <c r="BP199">
        <f t="shared" si="208"/>
        <v>0</v>
      </c>
    </row>
    <row r="200" spans="14:68">
      <c r="N200" s="7">
        <v>82</v>
      </c>
      <c r="O200" s="18">
        <f t="shared" si="211"/>
        <v>660.693448007596</v>
      </c>
      <c r="P200" s="86" t="str">
        <f t="shared" si="159"/>
        <v>96,0576923076923</v>
      </c>
      <c r="Q200" s="4" t="str">
        <f t="shared" si="160"/>
        <v>1+5,54129259708305i</v>
      </c>
      <c r="R200" s="4">
        <f t="shared" si="171"/>
        <v>5.63080133253584</v>
      </c>
      <c r="S200" s="4">
        <f t="shared" si="172"/>
        <v>1.3922546556403</v>
      </c>
      <c r="T200" s="4" t="str">
        <f t="shared" si="161"/>
        <v>1+0,0650917468443157i</v>
      </c>
      <c r="U200" s="4">
        <f t="shared" si="173"/>
        <v>1.002116228542</v>
      </c>
      <c r="V200" s="4">
        <f t="shared" si="174"/>
        <v>0.0650000499953869</v>
      </c>
      <c r="W200" t="str">
        <f t="shared" si="162"/>
        <v>1-0,0309038197177519i</v>
      </c>
      <c r="X200" s="4">
        <f t="shared" si="175"/>
        <v>1.00047740907686</v>
      </c>
      <c r="Y200" s="4">
        <f t="shared" si="176"/>
        <v>-0.0308939871609085</v>
      </c>
      <c r="Z200" t="str">
        <f t="shared" si="163"/>
        <v>0,999996436605451+0,052975026225908i</v>
      </c>
      <c r="AA200" s="4">
        <f t="shared" si="177"/>
        <v>1.00139863522337</v>
      </c>
      <c r="AB200" s="4">
        <f t="shared" si="178"/>
        <v>0.0529257421961659</v>
      </c>
      <c r="AC200" s="67" t="str">
        <f t="shared" si="179"/>
        <v>2,71642000070295-16,8623052733319i</v>
      </c>
      <c r="AD200" s="68">
        <f t="shared" si="180"/>
        <v>24.6496066191584</v>
      </c>
      <c r="AE200" s="31">
        <f t="shared" si="181"/>
        <v>-80.8486039748429</v>
      </c>
      <c r="AF200" s="32" t="str">
        <f t="shared" si="182"/>
        <v>236,914774604583</v>
      </c>
      <c r="AG200" s="32" t="str">
        <f t="shared" si="164"/>
        <v>1+1,36840604161345i</v>
      </c>
      <c r="AH200" s="32">
        <f t="shared" si="183"/>
        <v>1.69485547900822</v>
      </c>
      <c r="AI200" s="32">
        <f t="shared" si="184"/>
        <v>0.939711713656938</v>
      </c>
      <c r="AJ200" s="32" t="str">
        <f t="shared" si="165"/>
        <v>1+0,0650917468443157i</v>
      </c>
      <c r="AK200" s="32">
        <f t="shared" si="185"/>
        <v>1.002116228542</v>
      </c>
      <c r="AL200" s="32">
        <f t="shared" si="186"/>
        <v>0.0650000499953869</v>
      </c>
      <c r="AM200" s="32" t="str">
        <f t="shared" si="166"/>
        <v>1-0,00309416604417724i</v>
      </c>
      <c r="AN200" s="32">
        <f t="shared" si="187"/>
        <v>1.0000047869203</v>
      </c>
      <c r="AO200" s="32">
        <f t="shared" si="188"/>
        <v>-0.0030941561698595</v>
      </c>
      <c r="AP200" s="30" t="str">
        <f t="shared" si="189"/>
        <v>89,4895363604881-107,769879335584i</v>
      </c>
      <c r="AQ200" s="32">
        <f t="shared" si="190"/>
        <v>42.9275929562314</v>
      </c>
      <c r="AR200" s="31">
        <f t="shared" si="191"/>
        <v>-50.2945687083609</v>
      </c>
      <c r="AS200" t="str">
        <f t="shared" si="167"/>
        <v>-0,000272527472527473</v>
      </c>
      <c r="AT200" t="str">
        <f t="shared" si="168"/>
        <v>0,000932787979331487i</v>
      </c>
      <c r="AU200">
        <f t="shared" si="192"/>
        <v>0.000932787979331487</v>
      </c>
      <c r="AV200">
        <f t="shared" si="193"/>
        <v>1.5707963267949</v>
      </c>
      <c r="AW200" t="str">
        <f t="shared" si="169"/>
        <v>1+0,047757033639114i</v>
      </c>
      <c r="AX200">
        <f t="shared" si="194"/>
        <v>1.00113971765284</v>
      </c>
      <c r="AY200">
        <f t="shared" si="195"/>
        <v>0.0477207762080447</v>
      </c>
      <c r="AZ200" t="str">
        <f t="shared" si="170"/>
        <v>1+2,28319265078913i</v>
      </c>
      <c r="BA200">
        <f t="shared" si="196"/>
        <v>2.49258273295341</v>
      </c>
      <c r="BB200">
        <f t="shared" si="197"/>
        <v>1.15798039462548</v>
      </c>
      <c r="BC200" s="30" t="str">
        <f t="shared" si="198"/>
        <v>-0,651628591381651+0,323284283099228i</v>
      </c>
      <c r="BD200" s="32">
        <f t="shared" si="199"/>
        <v>-2.76435522664443</v>
      </c>
      <c r="BE200" s="31">
        <f t="shared" si="200"/>
        <v>153.613190299124</v>
      </c>
      <c r="BF200" s="30" t="str">
        <f t="shared" si="201"/>
        <v>3,68122133303043+11,8661361252323i</v>
      </c>
      <c r="BG200" s="68">
        <f t="shared" si="202"/>
        <v>21.8852513925139</v>
      </c>
      <c r="BH200" s="31">
        <f t="shared" si="203"/>
        <v>72.7645863242812</v>
      </c>
      <c r="BI200" s="30" t="str">
        <f t="shared" si="209"/>
        <v>-23,4736323412873+99,1564952719998i</v>
      </c>
      <c r="BJ200" s="68">
        <f t="shared" si="204"/>
        <v>40.163237729587</v>
      </c>
      <c r="BK200" s="31">
        <f t="shared" si="210"/>
        <v>103.318621590763</v>
      </c>
      <c r="BL200" s="32">
        <f t="shared" si="205"/>
        <v>21.8852513925139</v>
      </c>
      <c r="BM200" s="31">
        <f t="shared" si="206"/>
        <v>72.7645863242812</v>
      </c>
      <c r="BO200">
        <f t="shared" si="207"/>
        <v>0</v>
      </c>
      <c r="BP200">
        <f t="shared" si="208"/>
        <v>0</v>
      </c>
    </row>
    <row r="201" spans="14:68">
      <c r="N201" s="7">
        <v>83</v>
      </c>
      <c r="O201" s="18">
        <f t="shared" si="211"/>
        <v>676.082975391982</v>
      </c>
      <c r="P201" s="86" t="str">
        <f t="shared" si="159"/>
        <v>96,0576923076923</v>
      </c>
      <c r="Q201" s="4" t="str">
        <f t="shared" si="160"/>
        <v>1+5,67036588277231i</v>
      </c>
      <c r="R201" s="4">
        <f t="shared" si="171"/>
        <v>5.75786846363376</v>
      </c>
      <c r="S201" s="4">
        <f t="shared" si="172"/>
        <v>1.39623577839339</v>
      </c>
      <c r="T201" s="4" t="str">
        <f t="shared" si="161"/>
        <v>1+0,0666079284011011i</v>
      </c>
      <c r="U201" s="4">
        <f t="shared" si="173"/>
        <v>1.00221585306055</v>
      </c>
      <c r="V201" s="4">
        <f t="shared" si="174"/>
        <v>0.0665096851861727</v>
      </c>
      <c r="W201" t="str">
        <f t="shared" si="162"/>
        <v>1-0,0316236621518833i</v>
      </c>
      <c r="X201" s="4">
        <f t="shared" si="175"/>
        <v>1.00049990305242</v>
      </c>
      <c r="Y201" s="4">
        <f t="shared" si="176"/>
        <v>-0.0316131266617004</v>
      </c>
      <c r="Z201" t="str">
        <f t="shared" si="163"/>
        <v>0,99999626866784+0,0542089731028608i</v>
      </c>
      <c r="AA201" s="4">
        <f t="shared" si="177"/>
        <v>1.00146450267319</v>
      </c>
      <c r="AB201" s="4">
        <f t="shared" si="178"/>
        <v>0.0541561684835145</v>
      </c>
      <c r="AC201" s="67" t="str">
        <f t="shared" si="179"/>
        <v>2,58368816702026-16,5026899297026i</v>
      </c>
      <c r="AD201" s="68">
        <f t="shared" si="180"/>
        <v>24.4562633687856</v>
      </c>
      <c r="AE201" s="31">
        <f t="shared" si="181"/>
        <v>-81.1019116728258</v>
      </c>
      <c r="AF201" s="32" t="str">
        <f t="shared" si="182"/>
        <v>236,914774604583</v>
      </c>
      <c r="AG201" s="32" t="str">
        <f t="shared" si="164"/>
        <v>1+1,40028031297769i</v>
      </c>
      <c r="AH201" s="32">
        <f t="shared" si="183"/>
        <v>1.72069316117456</v>
      </c>
      <c r="AI201" s="32">
        <f t="shared" si="184"/>
        <v>0.950641528588344</v>
      </c>
      <c r="AJ201" s="32" t="str">
        <f t="shared" si="165"/>
        <v>1+0,0666079284011011i</v>
      </c>
      <c r="AK201" s="32">
        <f t="shared" si="185"/>
        <v>1.00221585306055</v>
      </c>
      <c r="AL201" s="32">
        <f t="shared" si="186"/>
        <v>0.0665096851861727</v>
      </c>
      <c r="AM201" s="32" t="str">
        <f t="shared" si="166"/>
        <v>1-0,00316623842995964i</v>
      </c>
      <c r="AN201" s="32">
        <f t="shared" si="187"/>
        <v>1.00000501252034</v>
      </c>
      <c r="AO201" s="32">
        <f t="shared" si="188"/>
        <v>-0.00316622784944042</v>
      </c>
      <c r="AP201" s="30" t="str">
        <f t="shared" si="189"/>
        <v>87,1428825067613-106,994189110299i</v>
      </c>
      <c r="AQ201" s="32">
        <f t="shared" si="190"/>
        <v>42.7970431537289</v>
      </c>
      <c r="AR201" s="31">
        <f t="shared" si="191"/>
        <v>-50.8384346528155</v>
      </c>
      <c r="AS201" t="str">
        <f t="shared" si="167"/>
        <v>-0,000272527472527473</v>
      </c>
      <c r="AT201" t="str">
        <f t="shared" si="168"/>
        <v>0,000954515402533636i</v>
      </c>
      <c r="AU201">
        <f t="shared" si="192"/>
        <v>0.000954515402533636</v>
      </c>
      <c r="AV201">
        <f t="shared" si="193"/>
        <v>1.5707963267949</v>
      </c>
      <c r="AW201" t="str">
        <f t="shared" si="169"/>
        <v>1+0,0488694378550216i</v>
      </c>
      <c r="AX201">
        <f t="shared" si="194"/>
        <v>1.00119339887769</v>
      </c>
      <c r="AY201">
        <f t="shared" si="195"/>
        <v>0.0488305898183284</v>
      </c>
      <c r="AZ201" t="str">
        <f t="shared" si="170"/>
        <v>1+2,33637503957944i</v>
      </c>
      <c r="BA201">
        <f t="shared" si="196"/>
        <v>2.5413870869212</v>
      </c>
      <c r="BB201">
        <f t="shared" si="197"/>
        <v>1.16637601014209</v>
      </c>
      <c r="BC201" s="30" t="str">
        <f t="shared" si="198"/>
        <v>-0,651558716204287+0,317355268262835i</v>
      </c>
      <c r="BD201" s="32">
        <f t="shared" si="199"/>
        <v>-2.79639621824689</v>
      </c>
      <c r="BE201" s="31">
        <f t="shared" si="200"/>
        <v>154.030635998725</v>
      </c>
      <c r="BF201" s="30" t="str">
        <f t="shared" si="201"/>
        <v>3,55379104452323+11,5724185158667i</v>
      </c>
      <c r="BG201" s="68">
        <f t="shared" si="202"/>
        <v>21.6598671505387</v>
      </c>
      <c r="BH201" s="31">
        <f t="shared" si="203"/>
        <v>72.9287243258994</v>
      </c>
      <c r="BI201" s="30" t="str">
        <f t="shared" si="209"/>
        <v>-22,823535064783+97,3682493531551i</v>
      </c>
      <c r="BJ201" s="68">
        <f t="shared" si="204"/>
        <v>40.000646935482</v>
      </c>
      <c r="BK201" s="31">
        <f t="shared" si="210"/>
        <v>103.19220134591</v>
      </c>
      <c r="BL201" s="32">
        <f t="shared" si="205"/>
        <v>21.6598671505387</v>
      </c>
      <c r="BM201" s="31">
        <f t="shared" si="206"/>
        <v>72.9287243258994</v>
      </c>
      <c r="BO201">
        <f t="shared" si="207"/>
        <v>0</v>
      </c>
      <c r="BP201">
        <f t="shared" si="208"/>
        <v>0</v>
      </c>
    </row>
    <row r="202" spans="14:68">
      <c r="N202" s="7">
        <v>84</v>
      </c>
      <c r="O202" s="18">
        <f t="shared" si="211"/>
        <v>691.830970918937</v>
      </c>
      <c r="P202" s="86" t="str">
        <f t="shared" si="159"/>
        <v>96,0576923076923</v>
      </c>
      <c r="Q202" s="4" t="str">
        <f t="shared" si="160"/>
        <v>1+5,80244567150877i</v>
      </c>
      <c r="R202" s="4">
        <f t="shared" si="171"/>
        <v>5.88798571421593</v>
      </c>
      <c r="S202" s="4">
        <f t="shared" si="172"/>
        <v>1.40013168894621</v>
      </c>
      <c r="T202" s="4" t="str">
        <f t="shared" si="161"/>
        <v>1+0,0681594263631849i</v>
      </c>
      <c r="U202" s="4">
        <f t="shared" si="173"/>
        <v>1.00232016212494</v>
      </c>
      <c r="V202" s="4">
        <f t="shared" si="174"/>
        <v>0.0680541700180279</v>
      </c>
      <c r="W202" t="str">
        <f t="shared" si="162"/>
        <v>1-0,0323602718702763i</v>
      </c>
      <c r="X202" s="4">
        <f t="shared" si="175"/>
        <v>1.00052345659436</v>
      </c>
      <c r="Y202" s="4">
        <f t="shared" si="176"/>
        <v>-0.032348983208118</v>
      </c>
      <c r="Z202" t="str">
        <f t="shared" si="163"/>
        <v>0,999996092815573+0,0554716622948933i</v>
      </c>
      <c r="AA202" s="4">
        <f t="shared" si="177"/>
        <v>1.0015334697174</v>
      </c>
      <c r="AB202" s="4">
        <f t="shared" si="178"/>
        <v>0.0554150858037325</v>
      </c>
      <c r="AC202" s="67" t="str">
        <f t="shared" si="179"/>
        <v>2,45657353956434-16,1497781587131i</v>
      </c>
      <c r="AD202" s="68">
        <f t="shared" si="180"/>
        <v>24.2626735057139</v>
      </c>
      <c r="AE202" s="31">
        <f t="shared" si="181"/>
        <v>-81.3509305661168</v>
      </c>
      <c r="AF202" s="32" t="str">
        <f t="shared" si="182"/>
        <v>236,914774604583</v>
      </c>
      <c r="AG202" s="32" t="str">
        <f t="shared" si="164"/>
        <v>1+1,43289703149877i</v>
      </c>
      <c r="AH202" s="32">
        <f t="shared" si="183"/>
        <v>1.7473390921278</v>
      </c>
      <c r="AI202" s="32">
        <f t="shared" si="184"/>
        <v>0.961489990250034</v>
      </c>
      <c r="AJ202" s="32" t="str">
        <f t="shared" si="165"/>
        <v>1+0,0681594263631849i</v>
      </c>
      <c r="AK202" s="32">
        <f t="shared" si="185"/>
        <v>1.00232016212494</v>
      </c>
      <c r="AL202" s="32">
        <f t="shared" si="186"/>
        <v>0.0680541700180279</v>
      </c>
      <c r="AM202" s="32" t="str">
        <f t="shared" si="166"/>
        <v>1-0,00323998959726771i</v>
      </c>
      <c r="AN202" s="32">
        <f t="shared" si="187"/>
        <v>1.00000524875252</v>
      </c>
      <c r="AO202" s="32">
        <f t="shared" si="188"/>
        <v>-0.00323997826004032</v>
      </c>
      <c r="AP202" s="30" t="str">
        <f t="shared" si="189"/>
        <v>84,8310307089594-106,173758352995i</v>
      </c>
      <c r="AQ202" s="32">
        <f t="shared" si="190"/>
        <v>42.6644739604896</v>
      </c>
      <c r="AR202" s="31">
        <f t="shared" si="191"/>
        <v>-51.3757388451173</v>
      </c>
      <c r="AS202" t="str">
        <f t="shared" si="167"/>
        <v>-0,000272527472527473</v>
      </c>
      <c r="AT202" t="str">
        <f t="shared" si="168"/>
        <v>0,000976748922436713i</v>
      </c>
      <c r="AU202">
        <f t="shared" si="192"/>
        <v>0.000976748922436713</v>
      </c>
      <c r="AV202">
        <f t="shared" si="193"/>
        <v>1.5707963267949</v>
      </c>
      <c r="AW202" t="str">
        <f t="shared" si="169"/>
        <v>1+0,0500077532937434i</v>
      </c>
      <c r="AX202">
        <f t="shared" si="194"/>
        <v>1.001249606936</v>
      </c>
      <c r="AY202">
        <f t="shared" si="195"/>
        <v>0.0499661296777982</v>
      </c>
      <c r="AZ202" t="str">
        <f t="shared" si="170"/>
        <v>1+2,3907962053413i</v>
      </c>
      <c r="BA202">
        <f t="shared" si="196"/>
        <v>2.59150660726041</v>
      </c>
      <c r="BB202">
        <f t="shared" si="197"/>
        <v>1.17463923638393</v>
      </c>
      <c r="BC202" s="30" t="str">
        <f t="shared" si="198"/>
        <v>-0,651485563971134+0,311594198242738i</v>
      </c>
      <c r="BD202" s="32">
        <f t="shared" si="199"/>
        <v>-2.8272538085062</v>
      </c>
      <c r="BE202" s="31">
        <f t="shared" si="200"/>
        <v>154.439022346128</v>
      </c>
      <c r="BF202" s="30" t="str">
        <f t="shared" si="201"/>
        <v>3,43175497930265+11,2868013942228i</v>
      </c>
      <c r="BG202" s="68">
        <f t="shared" si="202"/>
        <v>21.4354196972077</v>
      </c>
      <c r="BH202" s="31">
        <f t="shared" si="203"/>
        <v>73.088091780011</v>
      </c>
      <c r="BI202" s="30" t="str">
        <f t="shared" si="209"/>
        <v>-22,1830647752593+95,6035278393991i</v>
      </c>
      <c r="BJ202" s="68">
        <f t="shared" si="204"/>
        <v>39.8372201519834</v>
      </c>
      <c r="BK202" s="31">
        <f t="shared" si="210"/>
        <v>103.06328350101</v>
      </c>
      <c r="BL202" s="32">
        <f t="shared" si="205"/>
        <v>21.4354196972077</v>
      </c>
      <c r="BM202" s="31">
        <f t="shared" si="206"/>
        <v>73.088091780011</v>
      </c>
      <c r="BO202">
        <f t="shared" si="207"/>
        <v>0</v>
      </c>
      <c r="BP202">
        <f t="shared" si="208"/>
        <v>0</v>
      </c>
    </row>
    <row r="203" spans="14:68">
      <c r="N203" s="7">
        <v>85</v>
      </c>
      <c r="O203" s="18">
        <f t="shared" si="211"/>
        <v>707.945784384139</v>
      </c>
      <c r="P203" s="86" t="str">
        <f t="shared" si="159"/>
        <v>96,0576923076923</v>
      </c>
      <c r="Q203" s="4" t="str">
        <f t="shared" si="160"/>
        <v>1+5,93760199374473i</v>
      </c>
      <c r="R203" s="4">
        <f t="shared" si="171"/>
        <v>6.02122225433685</v>
      </c>
      <c r="S203" s="4">
        <f t="shared" si="172"/>
        <v>1.4039439796655</v>
      </c>
      <c r="T203" s="4" t="str">
        <f t="shared" si="161"/>
        <v>1+0,0697470633553234i</v>
      </c>
      <c r="U203" s="4">
        <f t="shared" si="173"/>
        <v>1.00242937549071</v>
      </c>
      <c r="V203" s="4">
        <f t="shared" si="174"/>
        <v>0.0696342939065477</v>
      </c>
      <c r="W203" t="str">
        <f t="shared" si="162"/>
        <v>1-0,0331140394331538i</v>
      </c>
      <c r="X203" s="4">
        <f t="shared" si="175"/>
        <v>1.00054811958625</v>
      </c>
      <c r="Y203" s="4">
        <f t="shared" si="176"/>
        <v>-0.0331019437715785</v>
      </c>
      <c r="Z203" t="str">
        <f t="shared" si="163"/>
        <v>0,999995908675644+0,0567637632965289i</v>
      </c>
      <c r="AA203" s="4">
        <f t="shared" si="177"/>
        <v>1.00160568198848</v>
      </c>
      <c r="AB203" s="4">
        <f t="shared" si="178"/>
        <v>0.0567031457416319</v>
      </c>
      <c r="AC203" s="67" t="str">
        <f t="shared" si="179"/>
        <v>2,3348528259622-15,8035115939605i</v>
      </c>
      <c r="AD203" s="68">
        <f t="shared" si="180"/>
        <v>24.0688495242236</v>
      </c>
      <c r="AE203" s="31">
        <f t="shared" si="181"/>
        <v>-81.5957661653166</v>
      </c>
      <c r="AF203" s="32" t="str">
        <f t="shared" si="182"/>
        <v>236,914774604583</v>
      </c>
      <c r="AG203" s="32" t="str">
        <f t="shared" si="164"/>
        <v>1+1,46627349099259i</v>
      </c>
      <c r="AH203" s="32">
        <f t="shared" si="183"/>
        <v>1.77481208875407</v>
      </c>
      <c r="AI203" s="32">
        <f t="shared" si="184"/>
        <v>0.97225263681664</v>
      </c>
      <c r="AJ203" s="32" t="str">
        <f t="shared" si="165"/>
        <v>1+0,0697470633553234i</v>
      </c>
      <c r="AK203" s="32">
        <f t="shared" si="185"/>
        <v>1.00242937549071</v>
      </c>
      <c r="AL203" s="32">
        <f t="shared" si="186"/>
        <v>0.0696342939065477</v>
      </c>
      <c r="AM203" s="32" t="str">
        <f t="shared" si="166"/>
        <v>1-0,0033154586499466i</v>
      </c>
      <c r="AN203" s="32">
        <f t="shared" si="187"/>
        <v>1.00000549611793</v>
      </c>
      <c r="AO203" s="32">
        <f t="shared" si="188"/>
        <v>-0.00331544650189219</v>
      </c>
      <c r="AP203" s="30" t="str">
        <f t="shared" si="189"/>
        <v>82,5556079430574-105,310470804287i</v>
      </c>
      <c r="AQ203" s="32">
        <f t="shared" si="190"/>
        <v>42.5299187781225</v>
      </c>
      <c r="AR203" s="31">
        <f t="shared" si="191"/>
        <v>-51.9061826516002</v>
      </c>
      <c r="AS203" t="str">
        <f t="shared" si="167"/>
        <v>-0,000272527472527473</v>
      </c>
      <c r="AT203" t="str">
        <f t="shared" si="168"/>
        <v>0,000999500327547267i</v>
      </c>
      <c r="AU203">
        <f t="shared" si="192"/>
        <v>0.000999500327547267</v>
      </c>
      <c r="AV203">
        <f t="shared" si="193"/>
        <v>1.5707963267949</v>
      </c>
      <c r="AW203" t="str">
        <f t="shared" si="169"/>
        <v>1+0,0511725835051925i</v>
      </c>
      <c r="AX203">
        <f t="shared" si="194"/>
        <v>1.00130846061671</v>
      </c>
      <c r="AY203">
        <f t="shared" si="195"/>
        <v>0.0511279861442822</v>
      </c>
      <c r="AZ203" t="str">
        <f t="shared" si="170"/>
        <v>1+2,44648500289718i</v>
      </c>
      <c r="BA203">
        <f t="shared" si="196"/>
        <v>2.64296970648564</v>
      </c>
      <c r="BB203">
        <f t="shared" si="197"/>
        <v>1.1827699398069</v>
      </c>
      <c r="BC203" s="30" t="str">
        <f t="shared" si="198"/>
        <v>-0,651408981782814+0,305997995591069i</v>
      </c>
      <c r="BD203" s="32">
        <f t="shared" si="199"/>
        <v>-2.85696705480296</v>
      </c>
      <c r="BE203" s="31">
        <f t="shared" si="200"/>
        <v>154.838307864807</v>
      </c>
      <c r="BF203" s="30" t="str">
        <f t="shared" si="201"/>
        <v>3,31489876907937+11,0090096807593i</v>
      </c>
      <c r="BG203" s="68">
        <f t="shared" si="202"/>
        <v>21.2118824694206</v>
      </c>
      <c r="BH203" s="31">
        <f t="shared" si="203"/>
        <v>73.2425416994908</v>
      </c>
      <c r="BI203" s="30" t="str">
        <f t="shared" si="209"/>
        <v>-21,5526715297846+93,8620371130671i</v>
      </c>
      <c r="BJ203" s="68">
        <f t="shared" si="204"/>
        <v>39.6729517233195</v>
      </c>
      <c r="BK203" s="31">
        <f t="shared" si="210"/>
        <v>102.932125213207</v>
      </c>
      <c r="BL203" s="32">
        <f t="shared" si="205"/>
        <v>21.2118824694206</v>
      </c>
      <c r="BM203" s="31">
        <f t="shared" si="206"/>
        <v>73.2425416994908</v>
      </c>
      <c r="BO203">
        <f t="shared" si="207"/>
        <v>0</v>
      </c>
      <c r="BP203">
        <f t="shared" si="208"/>
        <v>0</v>
      </c>
    </row>
    <row r="204" spans="14:68">
      <c r="N204" s="7">
        <v>86</v>
      </c>
      <c r="O204" s="18">
        <f t="shared" si="211"/>
        <v>724.43596007499</v>
      </c>
      <c r="P204" s="86" t="str">
        <f t="shared" si="159"/>
        <v>96,0576923076923</v>
      </c>
      <c r="Q204" s="4" t="str">
        <f t="shared" si="160"/>
        <v>1+6,0759065111512i</v>
      </c>
      <c r="R204" s="4">
        <f t="shared" si="171"/>
        <v>6.15764889647417</v>
      </c>
      <c r="S204" s="4">
        <f t="shared" si="172"/>
        <v>1.40767422840659</v>
      </c>
      <c r="T204" s="4" t="str">
        <f t="shared" si="161"/>
        <v>1+0,071371681163664i</v>
      </c>
      <c r="U204" s="4">
        <f t="shared" si="173"/>
        <v>1.00254372317228</v>
      </c>
      <c r="V204" s="4">
        <f t="shared" si="174"/>
        <v>0.0712508630746753</v>
      </c>
      <c r="W204" t="str">
        <f t="shared" si="162"/>
        <v>1-0,0338853644980548i</v>
      </c>
      <c r="X204" s="4">
        <f t="shared" si="175"/>
        <v>1.00057394425758</v>
      </c>
      <c r="Y204" s="4">
        <f t="shared" si="176"/>
        <v>-0.033872404164661</v>
      </c>
      <c r="Z204" t="str">
        <f t="shared" si="163"/>
        <v>0,999995715857467+0,0580859611968214i</v>
      </c>
      <c r="AA204" s="4">
        <f t="shared" si="177"/>
        <v>1.00168129193943</v>
      </c>
      <c r="AB204" s="4">
        <f t="shared" si="178"/>
        <v>0.0580210142031804</v>
      </c>
      <c r="AC204" s="67" t="str">
        <f t="shared" si="179"/>
        <v>2,21831032383372-15,4638276080687i</v>
      </c>
      <c r="AD204" s="68">
        <f t="shared" si="180"/>
        <v>23.8748035125704</v>
      </c>
      <c r="AE204" s="31">
        <f t="shared" si="181"/>
        <v>-81.8365235136961</v>
      </c>
      <c r="AF204" s="32" t="str">
        <f t="shared" si="182"/>
        <v>236,914774604583</v>
      </c>
      <c r="AG204" s="32" t="str">
        <f t="shared" si="164"/>
        <v>1+1,50042738809975i</v>
      </c>
      <c r="AH204" s="32">
        <f t="shared" si="183"/>
        <v>1.80313126171109</v>
      </c>
      <c r="AI204" s="32">
        <f t="shared" si="184"/>
        <v>0.982925201342414</v>
      </c>
      <c r="AJ204" s="32" t="str">
        <f t="shared" si="165"/>
        <v>1+0,071371681163664i</v>
      </c>
      <c r="AK204" s="32">
        <f t="shared" si="185"/>
        <v>1.00254372317228</v>
      </c>
      <c r="AL204" s="32">
        <f t="shared" si="186"/>
        <v>0.0712508630746753</v>
      </c>
      <c r="AM204" s="32" t="str">
        <f t="shared" si="166"/>
        <v>1-0,00339268560268695i</v>
      </c>
      <c r="AN204" s="32">
        <f t="shared" si="187"/>
        <v>1.00000575514124</v>
      </c>
      <c r="AO204" s="32">
        <f t="shared" si="188"/>
        <v>-0.00339267258581618</v>
      </c>
      <c r="AP204" s="30" t="str">
        <f t="shared" si="189"/>
        <v>80,3181143553638-104,406270128141i</v>
      </c>
      <c r="AQ204" s="32">
        <f t="shared" si="190"/>
        <v>42.3934124787871</v>
      </c>
      <c r="AR204" s="31">
        <f t="shared" si="191"/>
        <v>-52.4294776935607</v>
      </c>
      <c r="AS204" t="str">
        <f t="shared" si="167"/>
        <v>-0,000272527472527473</v>
      </c>
      <c r="AT204" t="str">
        <f t="shared" si="168"/>
        <v>0,00102278168096144i</v>
      </c>
      <c r="AU204">
        <f t="shared" si="192"/>
        <v>0.00102278168096144</v>
      </c>
      <c r="AV204">
        <f t="shared" si="193"/>
        <v>1.5707963267949</v>
      </c>
      <c r="AW204" t="str">
        <f t="shared" si="169"/>
        <v>1+0,0523645460977651i</v>
      </c>
      <c r="AX204">
        <f t="shared" si="194"/>
        <v>1.00137008427855</v>
      </c>
      <c r="AY204">
        <f t="shared" si="195"/>
        <v>0.0523167626951166</v>
      </c>
      <c r="AZ204" t="str">
        <f t="shared" si="170"/>
        <v>1+2,50347095918464i</v>
      </c>
      <c r="BA204">
        <f t="shared" si="196"/>
        <v>2.6958054164722</v>
      </c>
      <c r="BB204">
        <f t="shared" si="197"/>
        <v>1.19076813031101</v>
      </c>
      <c r="BC204" s="30" t="str">
        <f t="shared" si="198"/>
        <v>-0,651328809682042+0,300563668654538i</v>
      </c>
      <c r="BD204" s="32">
        <f t="shared" si="199"/>
        <v>-2.88557447000972</v>
      </c>
      <c r="BE204" s="31">
        <f t="shared" si="200"/>
        <v>155.228458545287</v>
      </c>
      <c r="BF204" s="30" t="str">
        <f t="shared" si="201"/>
        <v>3,20301533459446+10,7387799182374i</v>
      </c>
      <c r="BG204" s="68">
        <f t="shared" si="202"/>
        <v>20.9892290425607</v>
      </c>
      <c r="BH204" s="31">
        <f t="shared" si="203"/>
        <v>73.3919350315912</v>
      </c>
      <c r="BI204" s="30" t="str">
        <f t="shared" si="209"/>
        <v>-20,9327702387345+92,1435187559667i</v>
      </c>
      <c r="BJ204" s="68">
        <f t="shared" si="204"/>
        <v>39.5078380087774</v>
      </c>
      <c r="BK204" s="31">
        <f t="shared" si="210"/>
        <v>102.798980851727</v>
      </c>
      <c r="BL204" s="32">
        <f t="shared" si="205"/>
        <v>20.9892290425607</v>
      </c>
      <c r="BM204" s="31">
        <f t="shared" si="206"/>
        <v>73.3919350315912</v>
      </c>
      <c r="BO204">
        <f t="shared" si="207"/>
        <v>0</v>
      </c>
      <c r="BP204">
        <f t="shared" si="208"/>
        <v>0</v>
      </c>
    </row>
    <row r="205" spans="14:68">
      <c r="N205" s="7">
        <v>87</v>
      </c>
      <c r="O205" s="18">
        <f t="shared" si="211"/>
        <v>741.310241300918</v>
      </c>
      <c r="P205" s="86" t="str">
        <f t="shared" si="159"/>
        <v>96,0576923076923</v>
      </c>
      <c r="Q205" s="4" t="str">
        <f t="shared" si="160"/>
        <v>1+6,21743255461404i</v>
      </c>
      <c r="R205" s="4">
        <f t="shared" si="171"/>
        <v>6.29733813378117</v>
      </c>
      <c r="S205" s="4">
        <f t="shared" si="172"/>
        <v>1.4113239975431</v>
      </c>
      <c r="T205" s="4" t="str">
        <f t="shared" si="161"/>
        <v>1+0,0730341411820738i</v>
      </c>
      <c r="U205" s="4">
        <f t="shared" si="173"/>
        <v>1.00266344591703</v>
      </c>
      <c r="V205" s="4">
        <f t="shared" si="174"/>
        <v>0.0729047008332196</v>
      </c>
      <c r="W205" t="str">
        <f t="shared" si="162"/>
        <v>1-0,0346746560317386i</v>
      </c>
      <c r="X205" s="4">
        <f t="shared" si="175"/>
        <v>1.0006009852938</v>
      </c>
      <c r="Y205" s="4">
        <f t="shared" si="176"/>
        <v>-0.0346607692347543</v>
      </c>
      <c r="Z205" t="str">
        <f t="shared" si="163"/>
        <v>0,99999551395205+0,0594389570425992i</v>
      </c>
      <c r="AA205" s="4">
        <f t="shared" si="177"/>
        <v>1.00176045916104</v>
      </c>
      <c r="AB205" s="4">
        <f t="shared" si="178"/>
        <v>0.0593693716885868</v>
      </c>
      <c r="AC205" s="67" t="str">
        <f t="shared" si="179"/>
        <v>2,10673777434999-15,1306597159634i</v>
      </c>
      <c r="AD205" s="68">
        <f t="shared" si="180"/>
        <v>23.6805471708156</v>
      </c>
      <c r="AE205" s="31">
        <f t="shared" si="181"/>
        <v>-82.0733071422716</v>
      </c>
      <c r="AF205" s="32" t="str">
        <f t="shared" si="182"/>
        <v>236,914774604583</v>
      </c>
      <c r="AG205" s="32" t="str">
        <f t="shared" si="164"/>
        <v>1+1,53537683166859i</v>
      </c>
      <c r="AH205" s="32">
        <f t="shared" si="183"/>
        <v>1.83231602493257</v>
      </c>
      <c r="AI205" s="32">
        <f t="shared" si="184"/>
        <v>0.993503617364374</v>
      </c>
      <c r="AJ205" s="32" t="str">
        <f t="shared" si="165"/>
        <v>1+0,0730341411820738i</v>
      </c>
      <c r="AK205" s="32">
        <f t="shared" si="185"/>
        <v>1.00266344591703</v>
      </c>
      <c r="AL205" s="32">
        <f t="shared" si="186"/>
        <v>0.0729047008332196</v>
      </c>
      <c r="AM205" s="32" t="str">
        <f t="shared" si="166"/>
        <v>1-0,00347171140224137i</v>
      </c>
      <c r="AN205" s="32">
        <f t="shared" si="187"/>
        <v>1.00000602637187</v>
      </c>
      <c r="AO205" s="32">
        <f t="shared" si="188"/>
        <v>-0.00347169745441758</v>
      </c>
      <c r="AP205" s="30" t="str">
        <f t="shared" si="189"/>
        <v>78,119921479576-103,463150159274i</v>
      </c>
      <c r="AQ205" s="32">
        <f t="shared" si="190"/>
        <v>42.2549912961501</v>
      </c>
      <c r="AR205" s="31">
        <f t="shared" si="191"/>
        <v>-52.9453461534358</v>
      </c>
      <c r="AS205" t="str">
        <f t="shared" si="167"/>
        <v>-0,000272527472527473</v>
      </c>
      <c r="AT205" t="str">
        <f t="shared" si="168"/>
        <v>0,00104660532676097i</v>
      </c>
      <c r="AU205">
        <f t="shared" si="192"/>
        <v>0.00104660532676097</v>
      </c>
      <c r="AV205">
        <f t="shared" si="193"/>
        <v>1.5707963267949</v>
      </c>
      <c r="AW205" t="str">
        <f t="shared" si="169"/>
        <v>1+0,0535842730658056i</v>
      </c>
      <c r="AX205">
        <f t="shared" si="194"/>
        <v>1.00143460810978</v>
      </c>
      <c r="AY205">
        <f t="shared" si="195"/>
        <v>0.053533076188004</v>
      </c>
      <c r="AZ205" t="str">
        <f t="shared" si="170"/>
        <v>1+2,56178428891202i</v>
      </c>
      <c r="BA205">
        <f t="shared" si="196"/>
        <v>2.75004340746041</v>
      </c>
      <c r="BB205">
        <f t="shared" si="197"/>
        <v>1.19863395437991</v>
      </c>
      <c r="BC205" s="30" t="str">
        <f t="shared" si="198"/>
        <v>-0,651244880335187+0,29528830987404i</v>
      </c>
      <c r="BD205" s="32">
        <f t="shared" si="199"/>
        <v>-2.91311398526267</v>
      </c>
      <c r="BE205" s="31">
        <f t="shared" si="200"/>
        <v>155.60944743712</v>
      </c>
      <c r="BF205" s="30" t="str">
        <f t="shared" si="201"/>
        <v>3,09590474505188+10,4758597128506i</v>
      </c>
      <c r="BG205" s="68">
        <f t="shared" si="202"/>
        <v>20.7674331855529</v>
      </c>
      <c r="BH205" s="31">
        <f t="shared" si="203"/>
        <v>73.5361402948487</v>
      </c>
      <c r="BI205" s="30" t="str">
        <f t="shared" si="209"/>
        <v>-20,3237401709847+90,4477464257746i</v>
      </c>
      <c r="BJ205" s="68">
        <f t="shared" si="204"/>
        <v>39.3418773108874</v>
      </c>
      <c r="BK205" s="31">
        <f t="shared" si="210"/>
        <v>102.664101283685</v>
      </c>
      <c r="BL205" s="32">
        <f t="shared" si="205"/>
        <v>20.7674331855529</v>
      </c>
      <c r="BM205" s="31">
        <f t="shared" si="206"/>
        <v>73.5361402948487</v>
      </c>
      <c r="BO205">
        <f t="shared" si="207"/>
        <v>0</v>
      </c>
      <c r="BP205">
        <f t="shared" si="208"/>
        <v>0</v>
      </c>
    </row>
    <row r="206" spans="14:68">
      <c r="N206" s="7">
        <v>88</v>
      </c>
      <c r="O206" s="18">
        <f t="shared" si="211"/>
        <v>758.577575029184</v>
      </c>
      <c r="P206" s="86" t="str">
        <f t="shared" si="159"/>
        <v>96,0576923076923</v>
      </c>
      <c r="Q206" s="4" t="str">
        <f t="shared" si="160"/>
        <v>1+6,36225516311477i</v>
      </c>
      <c r="R206" s="4">
        <f t="shared" si="171"/>
        <v>6.44036417918898</v>
      </c>
      <c r="S206" s="4">
        <f t="shared" si="172"/>
        <v>1.41489483309021</v>
      </c>
      <c r="T206" s="4" t="str">
        <f t="shared" si="161"/>
        <v>1+0,0747353248688593i</v>
      </c>
      <c r="U206" s="4">
        <f t="shared" si="173"/>
        <v>1.0027887957009</v>
      </c>
      <c r="V206" s="4">
        <f t="shared" si="174"/>
        <v>0.0745966478602131</v>
      </c>
      <c r="W206" t="str">
        <f t="shared" si="162"/>
        <v>1-0,0354823325270237i</v>
      </c>
      <c r="X206" s="4">
        <f t="shared" si="175"/>
        <v>1.00062929995156</v>
      </c>
      <c r="Y206" s="4">
        <f t="shared" si="176"/>
        <v>-0.0354674530613398</v>
      </c>
      <c r="Z206" t="str">
        <f t="shared" si="163"/>
        <v>0,999995302531124+0,0608234682101686i</v>
      </c>
      <c r="AA206" s="4">
        <f t="shared" si="177"/>
        <v>1.00184335071379</v>
      </c>
      <c r="AB206" s="4">
        <f t="shared" si="178"/>
        <v>0.0607489135675087</v>
      </c>
      <c r="AC206" s="67" t="str">
        <f t="shared" si="179"/>
        <v>1,99993420759116-14,8039379552256i</v>
      </c>
      <c r="AD206" s="68">
        <f t="shared" si="180"/>
        <v>23.4860918284402</v>
      </c>
      <c r="AE206" s="31">
        <f t="shared" si="181"/>
        <v>-82.306221030639</v>
      </c>
      <c r="AF206" s="32" t="str">
        <f t="shared" si="182"/>
        <v>236,914774604583</v>
      </c>
      <c r="AG206" s="32" t="str">
        <f t="shared" si="164"/>
        <v>1+1,5711403523567i</v>
      </c>
      <c r="AH206" s="32">
        <f t="shared" si="183"/>
        <v>1.86238610572661</v>
      </c>
      <c r="AI206" s="32">
        <f t="shared" si="184"/>
        <v>1.00398402351609</v>
      </c>
      <c r="AJ206" s="32" t="str">
        <f t="shared" si="165"/>
        <v>1+0,0747353248688593i</v>
      </c>
      <c r="AK206" s="32">
        <f t="shared" si="185"/>
        <v>1.0027887957009</v>
      </c>
      <c r="AL206" s="32">
        <f t="shared" si="186"/>
        <v>0.0745966478602131</v>
      </c>
      <c r="AM206" s="32" t="str">
        <f t="shared" si="166"/>
        <v>1-0,00355257794913479i</v>
      </c>
      <c r="AN206" s="32">
        <f t="shared" si="187"/>
        <v>1.00000631038513</v>
      </c>
      <c r="AO206" s="32">
        <f t="shared" si="188"/>
        <v>-0.00355256300377743</v>
      </c>
      <c r="AP206" s="30" t="str">
        <f t="shared" si="189"/>
        <v>75,9622712882072-102,483145235348i</v>
      </c>
      <c r="AQ206" s="32">
        <f t="shared" si="190"/>
        <v>42.1146927153094</v>
      </c>
      <c r="AR206" s="31">
        <f t="shared" si="191"/>
        <v>-53.4535210243924</v>
      </c>
      <c r="AS206" t="str">
        <f t="shared" si="167"/>
        <v>-0,000272527472527473</v>
      </c>
      <c r="AT206" t="str">
        <f t="shared" si="168"/>
        <v>0,00107098389655821i</v>
      </c>
      <c r="AU206">
        <f t="shared" si="192"/>
        <v>0.00107098389655821</v>
      </c>
      <c r="AV206">
        <f t="shared" si="193"/>
        <v>1.5707963267949</v>
      </c>
      <c r="AW206" t="str">
        <f t="shared" si="169"/>
        <v>1+0,0548324111246972i</v>
      </c>
      <c r="AX206">
        <f t="shared" si="194"/>
        <v>1.00150216839992</v>
      </c>
      <c r="AY206">
        <f t="shared" si="195"/>
        <v>0.0547775571248008</v>
      </c>
      <c r="AZ206" t="str">
        <f t="shared" si="170"/>
        <v>1+2,62145591057861i</v>
      </c>
      <c r="BA206">
        <f t="shared" si="196"/>
        <v>2.80571400736203</v>
      </c>
      <c r="BB206">
        <f t="shared" si="197"/>
        <v>1.20636768820298</v>
      </c>
      <c r="BC206" s="30" t="str">
        <f t="shared" si="198"/>
        <v>-0,651157018700101+0,290169094120896i</v>
      </c>
      <c r="BD206" s="32">
        <f t="shared" si="199"/>
        <v>-2.93962291727242</v>
      </c>
      <c r="BE206" s="31">
        <f t="shared" si="200"/>
        <v>155.981254239697</v>
      </c>
      <c r="BF206" s="30" t="str">
        <f t="shared" si="201"/>
        <v>2,99337406967835+10,2200072012641i</v>
      </c>
      <c r="BG206" s="68">
        <f t="shared" si="202"/>
        <v>20.5464689111678</v>
      </c>
      <c r="BH206" s="31">
        <f t="shared" si="203"/>
        <v>73.6750332090578</v>
      </c>
      <c r="BI206" s="30" t="str">
        <f t="shared" si="209"/>
        <v>-19,7259246901161+88,7745227655235i</v>
      </c>
      <c r="BJ206" s="68">
        <f t="shared" si="204"/>
        <v>39.175069798037</v>
      </c>
      <c r="BK206" s="31">
        <f t="shared" si="210"/>
        <v>102.527733215304</v>
      </c>
      <c r="BL206" s="32">
        <f t="shared" si="205"/>
        <v>20.5464689111678</v>
      </c>
      <c r="BM206" s="31">
        <f t="shared" si="206"/>
        <v>73.6750332090578</v>
      </c>
      <c r="BO206">
        <f t="shared" si="207"/>
        <v>0</v>
      </c>
      <c r="BP206">
        <f t="shared" si="208"/>
        <v>0</v>
      </c>
    </row>
    <row r="207" spans="14:68">
      <c r="N207" s="7">
        <v>89</v>
      </c>
      <c r="O207" s="18">
        <f t="shared" si="211"/>
        <v>776.247116628692</v>
      </c>
      <c r="P207" s="86" t="str">
        <f t="shared" si="159"/>
        <v>96,0576923076923</v>
      </c>
      <c r="Q207" s="4" t="str">
        <f t="shared" si="160"/>
        <v>1+6,5104511235174i</v>
      </c>
      <c r="R207" s="4">
        <f t="shared" si="171"/>
        <v>6.58680300538197</v>
      </c>
      <c r="S207" s="4">
        <f t="shared" si="172"/>
        <v>1.41838826391622</v>
      </c>
      <c r="T207" s="4" t="str">
        <f t="shared" si="161"/>
        <v>1+0,0764761342141294i</v>
      </c>
      <c r="U207" s="4">
        <f t="shared" si="173"/>
        <v>1.00292003624633</v>
      </c>
      <c r="V207" s="4">
        <f t="shared" si="174"/>
        <v>0.0763275624785721</v>
      </c>
      <c r="W207" t="str">
        <f t="shared" si="162"/>
        <v>1-0,0363088222246788i</v>
      </c>
      <c r="X207" s="4">
        <f t="shared" si="175"/>
        <v>1.00065894817932</v>
      </c>
      <c r="Y207" s="4">
        <f t="shared" si="176"/>
        <v>-0.0362928791569374</v>
      </c>
      <c r="Z207" t="str">
        <f t="shared" si="163"/>
        <v>0,999995081146236+0,0622402287856767i</v>
      </c>
      <c r="AA207" s="4">
        <f t="shared" si="177"/>
        <v>1.00193014147492</v>
      </c>
      <c r="AB207" s="4">
        <f t="shared" si="178"/>
        <v>0.0621603503561413</v>
      </c>
      <c r="AC207" s="67" t="str">
        <f t="shared" si="179"/>
        <v>1,89770578108358-14,4835892443191i</v>
      </c>
      <c r="AD207" s="68">
        <f t="shared" si="180"/>
        <v>23.2914484617296</v>
      </c>
      <c r="AE207" s="31">
        <f t="shared" si="181"/>
        <v>-82.5353685732764</v>
      </c>
      <c r="AF207" s="32" t="str">
        <f t="shared" si="182"/>
        <v>236,914774604583</v>
      </c>
      <c r="AG207" s="32" t="str">
        <f t="shared" si="164"/>
        <v>1+1,60773691245613i</v>
      </c>
      <c r="AH207" s="32">
        <f t="shared" si="183"/>
        <v>1.89336155545473</v>
      </c>
      <c r="AI207" s="32">
        <f t="shared" si="184"/>
        <v>1.01436276716473</v>
      </c>
      <c r="AJ207" s="32" t="str">
        <f t="shared" si="165"/>
        <v>1+0,0764761342141294i</v>
      </c>
      <c r="AK207" s="32">
        <f t="shared" si="185"/>
        <v>1.00292003624633</v>
      </c>
      <c r="AL207" s="32">
        <f t="shared" si="186"/>
        <v>0.0763275624785721</v>
      </c>
      <c r="AM207" s="32" t="str">
        <f t="shared" si="166"/>
        <v>1-0,00363532811988076i</v>
      </c>
      <c r="AN207" s="32">
        <f t="shared" si="187"/>
        <v>1.00000660778344</v>
      </c>
      <c r="AO207" s="32">
        <f t="shared" si="188"/>
        <v>-0.00363531210564754</v>
      </c>
      <c r="AP207" s="30" t="str">
        <f t="shared" si="189"/>
        <v>73,8462760467557-101,468320689959i</v>
      </c>
      <c r="AQ207" s="32">
        <f t="shared" si="190"/>
        <v>41.9725553624142</v>
      </c>
      <c r="AR207" s="31">
        <f t="shared" si="191"/>
        <v>-53.9537463040737</v>
      </c>
      <c r="AS207" t="str">
        <f t="shared" si="167"/>
        <v>-0,000272527472527473</v>
      </c>
      <c r="AT207" t="str">
        <f t="shared" si="168"/>
        <v>0,00109593031619355i</v>
      </c>
      <c r="AU207">
        <f t="shared" si="192"/>
        <v>0.00109593031619355</v>
      </c>
      <c r="AV207">
        <f t="shared" si="193"/>
        <v>1.5707963267949</v>
      </c>
      <c r="AW207" t="str">
        <f t="shared" si="169"/>
        <v>1+0,05610962205376i</v>
      </c>
      <c r="AX207">
        <f t="shared" si="194"/>
        <v>1.001572907824</v>
      </c>
      <c r="AY207">
        <f t="shared" si="195"/>
        <v>0.0560508499180861</v>
      </c>
      <c r="AZ207" t="str">
        <f t="shared" si="170"/>
        <v>1+2,68251746286805i</v>
      </c>
      <c r="BA207">
        <f t="shared" si="196"/>
        <v>2.86284822136837</v>
      </c>
      <c r="BB207">
        <f t="shared" si="197"/>
        <v>1.21396973081314</v>
      </c>
      <c r="BC207" s="30" t="str">
        <f t="shared" si="198"/>
        <v>-0,651065041679822+0,2852032770683i</v>
      </c>
      <c r="BD207" s="32">
        <f t="shared" si="199"/>
        <v>-2.96513794001222</v>
      </c>
      <c r="BE207" s="31">
        <f t="shared" si="200"/>
        <v>156.343864893798</v>
      </c>
      <c r="BF207" s="30" t="str">
        <f t="shared" si="201"/>
        <v>2,89523722273377+9,97099054270253i</v>
      </c>
      <c r="BG207" s="68">
        <f t="shared" si="202"/>
        <v>20.3263105217174</v>
      </c>
      <c r="BH207" s="31">
        <f t="shared" si="203"/>
        <v>73.8084963205214</v>
      </c>
      <c r="BI207" s="30" t="str">
        <f t="shared" si="209"/>
        <v>-19,1396312128872+87,1236763670147i</v>
      </c>
      <c r="BJ207" s="68">
        <f t="shared" si="204"/>
        <v>39.007417422402</v>
      </c>
      <c r="BK207" s="31">
        <f t="shared" si="210"/>
        <v>102.390118589724</v>
      </c>
      <c r="BL207" s="32">
        <f t="shared" si="205"/>
        <v>20.3263105217174</v>
      </c>
      <c r="BM207" s="31">
        <f t="shared" si="206"/>
        <v>73.8084963205214</v>
      </c>
      <c r="BO207">
        <f t="shared" si="207"/>
        <v>0</v>
      </c>
      <c r="BP207">
        <f t="shared" si="208"/>
        <v>0</v>
      </c>
    </row>
    <row r="208" spans="14:68">
      <c r="N208" s="7">
        <v>90</v>
      </c>
      <c r="O208" s="18">
        <f t="shared" si="211"/>
        <v>794.328234724282</v>
      </c>
      <c r="P208" s="86" t="str">
        <f t="shared" si="159"/>
        <v>96,0576923076923</v>
      </c>
      <c r="Q208" s="4" t="str">
        <f t="shared" si="160"/>
        <v>1+6,66209901128171i</v>
      </c>
      <c r="R208" s="4">
        <f t="shared" si="171"/>
        <v>6.73673238566894</v>
      </c>
      <c r="S208" s="4">
        <f t="shared" si="172"/>
        <v>1.42180580103698</v>
      </c>
      <c r="T208" s="4" t="str">
        <f t="shared" si="161"/>
        <v>1+0,078257492218041i</v>
      </c>
      <c r="U208" s="4">
        <f t="shared" si="173"/>
        <v>1.00305744356356</v>
      </c>
      <c r="V208" s="4">
        <f t="shared" si="174"/>
        <v>0.0780983209314583</v>
      </c>
      <c r="W208" t="str">
        <f t="shared" si="162"/>
        <v>1-0,0371545633404815i</v>
      </c>
      <c r="X208" s="4">
        <f t="shared" si="175"/>
        <v>1.00068999274352</v>
      </c>
      <c r="Y208" s="4">
        <f t="shared" si="176"/>
        <v>-0.0371374806717307</v>
      </c>
      <c r="Z208" t="str">
        <f t="shared" si="163"/>
        <v>0,9999948493278+0,0636899899543339i</v>
      </c>
      <c r="AA208" s="4">
        <f t="shared" si="177"/>
        <v>1.00202101450145</v>
      </c>
      <c r="AB208" s="4">
        <f t="shared" si="178"/>
        <v>0.0636044079959184</v>
      </c>
      <c r="AC208" s="67" t="str">
        <f t="shared" si="179"/>
        <v>1,79986561277876-14,1695377195172i</v>
      </c>
      <c r="AD208" s="68">
        <f t="shared" si="180"/>
        <v>23.0966277109208</v>
      </c>
      <c r="AE208" s="31">
        <f t="shared" si="181"/>
        <v>-82.7608525510383</v>
      </c>
      <c r="AF208" s="32" t="str">
        <f t="shared" si="182"/>
        <v>236,914774604583</v>
      </c>
      <c r="AG208" s="32" t="str">
        <f t="shared" si="164"/>
        <v>1+1,64518591594745i</v>
      </c>
      <c r="AH208" s="32">
        <f t="shared" si="183"/>
        <v>1.92526276077627</v>
      </c>
      <c r="AI208" s="32">
        <f t="shared" si="184"/>
        <v>1.02463640709127</v>
      </c>
      <c r="AJ208" s="32" t="str">
        <f t="shared" si="165"/>
        <v>1+0,078257492218041i</v>
      </c>
      <c r="AK208" s="32">
        <f t="shared" si="185"/>
        <v>1.00305744356356</v>
      </c>
      <c r="AL208" s="32">
        <f t="shared" si="186"/>
        <v>0.0780983209314583</v>
      </c>
      <c r="AM208" s="32" t="str">
        <f t="shared" si="166"/>
        <v>1-0,00372000578971515i</v>
      </c>
      <c r="AN208" s="32">
        <f t="shared" si="187"/>
        <v>1.0000069191976</v>
      </c>
      <c r="AO208" s="32">
        <f t="shared" si="188"/>
        <v>-0.00371998863016151</v>
      </c>
      <c r="AP208" s="30" t="str">
        <f t="shared" si="189"/>
        <v>71,7729189319487-100,420763576521i</v>
      </c>
      <c r="AQ208" s="32">
        <f t="shared" si="190"/>
        <v>41.8286188946835</v>
      </c>
      <c r="AR208" s="31">
        <f t="shared" si="191"/>
        <v>-54.4457771336924</v>
      </c>
      <c r="AS208" t="str">
        <f t="shared" si="167"/>
        <v>-0,000272527472527473</v>
      </c>
      <c r="AT208" t="str">
        <f t="shared" si="168"/>
        <v>0,00112145781258889i</v>
      </c>
      <c r="AU208">
        <f t="shared" si="192"/>
        <v>0.00112145781258889</v>
      </c>
      <c r="AV208">
        <f t="shared" si="193"/>
        <v>1.5707963267949</v>
      </c>
      <c r="AW208" t="str">
        <f t="shared" si="169"/>
        <v>1+0,0574165830471342i</v>
      </c>
      <c r="AX208">
        <f t="shared" si="194"/>
        <v>1.00164697573986</v>
      </c>
      <c r="AY208">
        <f t="shared" si="195"/>
        <v>0.0573536131603414</v>
      </c>
      <c r="AZ208" t="str">
        <f t="shared" si="170"/>
        <v>1+2,74500132142363i</v>
      </c>
      <c r="BA208">
        <f t="shared" si="196"/>
        <v>2.92147775186077</v>
      </c>
      <c r="BB208">
        <f t="shared" si="197"/>
        <v>1.22144059727073</v>
      </c>
      <c r="BC208" s="30" t="str">
        <f t="shared" si="198"/>
        <v>-0,650968757761551+0,280388193596513i</v>
      </c>
      <c r="BD208" s="32">
        <f t="shared" si="199"/>
        <v>-2.9896950606112</v>
      </c>
      <c r="BE208" s="31">
        <f t="shared" si="200"/>
        <v>156.697271175638</v>
      </c>
      <c r="BF208" s="30" t="str">
        <f t="shared" si="201"/>
        <v>2,80131480318476+9,72858743521307i</v>
      </c>
      <c r="BG208" s="68">
        <f t="shared" si="202"/>
        <v>20.1069326503096</v>
      </c>
      <c r="BH208" s="31">
        <f t="shared" si="203"/>
        <v>73.9364186245994</v>
      </c>
      <c r="BI208" s="30" t="str">
        <f t="shared" si="209"/>
        <v>-18,5651313792479+85,4950588073524i</v>
      </c>
      <c r="BJ208" s="68">
        <f t="shared" si="204"/>
        <v>38.8389238340723</v>
      </c>
      <c r="BK208" s="31">
        <f t="shared" si="210"/>
        <v>102.251494041945</v>
      </c>
      <c r="BL208" s="32">
        <f t="shared" si="205"/>
        <v>20.1069326503096</v>
      </c>
      <c r="BM208" s="31">
        <f t="shared" si="206"/>
        <v>73.9364186245994</v>
      </c>
      <c r="BO208">
        <f t="shared" si="207"/>
        <v>0</v>
      </c>
      <c r="BP208">
        <f t="shared" si="208"/>
        <v>0</v>
      </c>
    </row>
    <row r="209" spans="14:68">
      <c r="N209" s="7">
        <v>91</v>
      </c>
      <c r="O209" s="18">
        <f t="shared" si="211"/>
        <v>812.8305161641</v>
      </c>
      <c r="P209" s="86" t="str">
        <f t="shared" si="159"/>
        <v>96,0576923076923</v>
      </c>
      <c r="Q209" s="4" t="str">
        <f t="shared" si="160"/>
        <v>1+6,81727923212511i</v>
      </c>
      <c r="R209" s="4">
        <f t="shared" si="171"/>
        <v>6.89023193577432</v>
      </c>
      <c r="S209" s="4">
        <f t="shared" si="172"/>
        <v>1.42514893698847</v>
      </c>
      <c r="T209" s="4" t="str">
        <f t="shared" si="161"/>
        <v>1+0,0800803433801869i</v>
      </c>
      <c r="U209" s="4">
        <f t="shared" si="173"/>
        <v>1.00320130651624</v>
      </c>
      <c r="V209" s="4">
        <f t="shared" si="174"/>
        <v>0.0799098176547043</v>
      </c>
      <c r="W209" t="str">
        <f t="shared" si="162"/>
        <v>1-0,0380200042975661i</v>
      </c>
      <c r="X209" s="4">
        <f t="shared" si="175"/>
        <v>1.00072249936073</v>
      </c>
      <c r="Y209" s="4">
        <f t="shared" si="176"/>
        <v>-0.0380017006018868</v>
      </c>
      <c r="Z209" t="str">
        <f t="shared" si="163"/>
        <v>0,999994606584098+0,0651735203987014i</v>
      </c>
      <c r="AA209" s="4">
        <f t="shared" si="177"/>
        <v>1.00211616140967</v>
      </c>
      <c r="AB209" s="4">
        <f t="shared" si="178"/>
        <v>0.065081828133531</v>
      </c>
      <c r="AC209" s="67" t="str">
        <f t="shared" si="179"/>
        <v>1,70623360962457-13,8617050513605i</v>
      </c>
      <c r="AD209" s="68">
        <f t="shared" si="180"/>
        <v>22.9016398971052</v>
      </c>
      <c r="AE209" s="31">
        <f t="shared" si="181"/>
        <v>-82.9827751075756</v>
      </c>
      <c r="AF209" s="32" t="str">
        <f t="shared" si="182"/>
        <v>236,914774604583</v>
      </c>
      <c r="AG209" s="32" t="str">
        <f t="shared" si="164"/>
        <v>1+1,68350721878802i</v>
      </c>
      <c r="AH209" s="32">
        <f t="shared" si="183"/>
        <v>1.95811045544202</v>
      </c>
      <c r="AI209" s="32">
        <f t="shared" si="184"/>
        <v>1.03480171524076</v>
      </c>
      <c r="AJ209" s="32" t="str">
        <f t="shared" si="165"/>
        <v>1+0,0800803433801869i</v>
      </c>
      <c r="AK209" s="32">
        <f t="shared" si="185"/>
        <v>1.00320130651624</v>
      </c>
      <c r="AL209" s="32">
        <f t="shared" si="186"/>
        <v>0.0799098176547043</v>
      </c>
      <c r="AM209" s="32" t="str">
        <f t="shared" si="166"/>
        <v>1-0,00380665585585935i</v>
      </c>
      <c r="AN209" s="32">
        <f t="shared" si="187"/>
        <v>1.00000724528816</v>
      </c>
      <c r="AO209" s="32">
        <f t="shared" si="188"/>
        <v>-0.00380663746907355</v>
      </c>
      <c r="AP209" s="30" t="str">
        <f t="shared" si="189"/>
        <v>69,7430553693494-99,3425736865458i</v>
      </c>
      <c r="AQ209" s="32">
        <f t="shared" si="190"/>
        <v>41.6829238914838</v>
      </c>
      <c r="AR209" s="31">
        <f t="shared" si="191"/>
        <v>-54.9293798840336</v>
      </c>
      <c r="AS209" t="str">
        <f t="shared" si="167"/>
        <v>-0,000272527472527473</v>
      </c>
      <c r="AT209" t="str">
        <f t="shared" si="168"/>
        <v>0,00114757992076071i</v>
      </c>
      <c r="AU209">
        <f t="shared" si="192"/>
        <v>0.00114757992076071</v>
      </c>
      <c r="AV209">
        <f t="shared" si="193"/>
        <v>1.5707963267949</v>
      </c>
      <c r="AW209" t="str">
        <f t="shared" si="169"/>
        <v>1+0,0587539870728384i</v>
      </c>
      <c r="AX209">
        <f t="shared" si="194"/>
        <v>1.00172452849921</v>
      </c>
      <c r="AY209">
        <f t="shared" si="195"/>
        <v>0.0586865198955548</v>
      </c>
      <c r="AZ209" t="str">
        <f t="shared" si="170"/>
        <v>1+2,80894061601421i</v>
      </c>
      <c r="BA209">
        <f t="shared" si="196"/>
        <v>2.98163501862557</v>
      </c>
      <c r="BB209">
        <f t="shared" si="197"/>
        <v>1.22878091192079</v>
      </c>
      <c r="BC209" s="30" t="str">
        <f t="shared" si="198"/>
        <v>-0,650867966640357+0,275721256230384i</v>
      </c>
      <c r="BD209" s="32">
        <f t="shared" si="199"/>
        <v>-3.01332959926843</v>
      </c>
      <c r="BE209" s="31">
        <f t="shared" si="200"/>
        <v>157.041470294972</v>
      </c>
      <c r="BF209" s="30" t="str">
        <f t="shared" si="201"/>
        <v>2,7114339301464+9,49258465521556i</v>
      </c>
      <c r="BG209" s="68">
        <f t="shared" si="202"/>
        <v>19.8883102978368</v>
      </c>
      <c r="BH209" s="31">
        <f t="shared" si="203"/>
        <v>74.0586951873966</v>
      </c>
      <c r="BI209" s="30" t="str">
        <f t="shared" si="209"/>
        <v>-18,0026614215204+83,8885417759641i</v>
      </c>
      <c r="BJ209" s="68">
        <f t="shared" si="204"/>
        <v>38.6695942922154</v>
      </c>
      <c r="BK209" s="31">
        <f t="shared" si="210"/>
        <v>102.112090410939</v>
      </c>
      <c r="BL209" s="32">
        <f t="shared" si="205"/>
        <v>19.8883102978368</v>
      </c>
      <c r="BM209" s="31">
        <f t="shared" si="206"/>
        <v>74.0586951873966</v>
      </c>
      <c r="BO209">
        <f t="shared" si="207"/>
        <v>0</v>
      </c>
      <c r="BP209">
        <f t="shared" si="208"/>
        <v>0</v>
      </c>
    </row>
    <row r="210" spans="14:68">
      <c r="N210" s="7">
        <v>92</v>
      </c>
      <c r="O210" s="18">
        <f t="shared" si="211"/>
        <v>831.763771102671</v>
      </c>
      <c r="P210" s="86" t="str">
        <f t="shared" si="159"/>
        <v>96,0576923076923</v>
      </c>
      <c r="Q210" s="4" t="str">
        <f t="shared" si="160"/>
        <v>1+6,97607406465475i</v>
      </c>
      <c r="R210" s="4">
        <f t="shared" si="171"/>
        <v>7.04738315657299</v>
      </c>
      <c r="S210" s="4">
        <f t="shared" si="172"/>
        <v>1.42841914527261</v>
      </c>
      <c r="T210" s="4" t="str">
        <f t="shared" si="161"/>
        <v>1+0,0819456542003818i</v>
      </c>
      <c r="U210" s="4">
        <f t="shared" si="173"/>
        <v>1.00335192741247</v>
      </c>
      <c r="V210" s="4">
        <f t="shared" si="174"/>
        <v>0.0817629655456038</v>
      </c>
      <c r="W210" t="str">
        <f t="shared" si="162"/>
        <v>1-0,0389056039641836i</v>
      </c>
      <c r="X210" s="4">
        <f t="shared" si="175"/>
        <v>1.00075653683592</v>
      </c>
      <c r="Y210" s="4">
        <f t="shared" si="176"/>
        <v>-0.0388859920015833</v>
      </c>
      <c r="Z210" t="str">
        <f t="shared" si="163"/>
        <v>0,999994352400237+0,066691606706258i</v>
      </c>
      <c r="AA210" s="4">
        <f t="shared" si="177"/>
        <v>1.00221578277207</v>
      </c>
      <c r="AB210" s="4">
        <f t="shared" si="178"/>
        <v>0.0665933684019388</v>
      </c>
      <c r="AC210" s="67" t="str">
        <f t="shared" si="179"/>
        <v>1,61663629277458-13,5600107414853i</v>
      </c>
      <c r="AD210" s="68">
        <f t="shared" si="180"/>
        <v>22.7064950388829</v>
      </c>
      <c r="AE210" s="31">
        <f t="shared" si="181"/>
        <v>-83.2012377304296</v>
      </c>
      <c r="AF210" s="32" t="str">
        <f t="shared" si="182"/>
        <v>236,914774604583</v>
      </c>
      <c r="AG210" s="32" t="str">
        <f t="shared" si="164"/>
        <v>1+1,72272113943984i</v>
      </c>
      <c r="AH210" s="32">
        <f t="shared" si="183"/>
        <v>1.99192573261979</v>
      </c>
      <c r="AI210" s="32">
        <f t="shared" si="184"/>
        <v>1.04485567757547</v>
      </c>
      <c r="AJ210" s="32" t="str">
        <f t="shared" si="165"/>
        <v>1+0,0819456542003818i</v>
      </c>
      <c r="AK210" s="32">
        <f t="shared" si="185"/>
        <v>1.00335192741247</v>
      </c>
      <c r="AL210" s="32">
        <f t="shared" si="186"/>
        <v>0.0817629655456038</v>
      </c>
      <c r="AM210" s="32" t="str">
        <f t="shared" si="166"/>
        <v>1-0,00389532426132537i</v>
      </c>
      <c r="AN210" s="32">
        <f t="shared" si="187"/>
        <v>1.00000758674677</v>
      </c>
      <c r="AO210" s="32">
        <f t="shared" si="188"/>
        <v>-0.00389530455953749</v>
      </c>
      <c r="AP210" s="30" t="str">
        <f t="shared" si="189"/>
        <v>67,7574150405883-98,2358549188956i</v>
      </c>
      <c r="AQ210" s="32">
        <f t="shared" si="190"/>
        <v>41.5355117470902</v>
      </c>
      <c r="AR210" s="31">
        <f t="shared" si="191"/>
        <v>-55.4043321902992</v>
      </c>
      <c r="AS210" t="str">
        <f t="shared" si="167"/>
        <v>-0,000272527472527473</v>
      </c>
      <c r="AT210" t="str">
        <f t="shared" si="168"/>
        <v>0,00117431049099654i</v>
      </c>
      <c r="AU210">
        <f t="shared" si="192"/>
        <v>0.00117431049099654</v>
      </c>
      <c r="AV210">
        <f t="shared" si="193"/>
        <v>1.5707963267949</v>
      </c>
      <c r="AW210" t="str">
        <f t="shared" si="169"/>
        <v>1+0,0601225432401895i</v>
      </c>
      <c r="AX210">
        <f t="shared" si="194"/>
        <v>1.00180572977283</v>
      </c>
      <c r="AY210">
        <f t="shared" si="195"/>
        <v>0.0600502578930376</v>
      </c>
      <c r="AZ210" t="str">
        <f t="shared" si="170"/>
        <v>1+2,87436924810012i</v>
      </c>
      <c r="BA210">
        <f t="shared" si="196"/>
        <v>3.04335317937693</v>
      </c>
      <c r="BB210">
        <f t="shared" si="197"/>
        <v>1.23599140174844</v>
      </c>
      <c r="BC210" s="30" t="str">
        <f t="shared" si="198"/>
        <v>-0,650762458827107+0,271199953607625i</v>
      </c>
      <c r="BD210" s="32">
        <f t="shared" si="199"/>
        <v>-3.03607617299592</v>
      </c>
      <c r="BE210" s="31">
        <f t="shared" si="200"/>
        <v>157.376464498701</v>
      </c>
      <c r="BF210" s="30" t="str">
        <f t="shared" si="201"/>
        <v>2,62542807509459+9,26277761945182i</v>
      </c>
      <c r="BG210" s="68">
        <f t="shared" si="202"/>
        <v>19.670418865887</v>
      </c>
      <c r="BH210" s="31">
        <f t="shared" si="203"/>
        <v>74.1752267682711</v>
      </c>
      <c r="BI210" s="30" t="str">
        <f t="shared" si="209"/>
        <v>-17,4524227189722+82,3040143075836i</v>
      </c>
      <c r="BJ210" s="68">
        <f t="shared" si="204"/>
        <v>38.4994355740943</v>
      </c>
      <c r="BK210" s="31">
        <f t="shared" si="210"/>
        <v>101.972132308401</v>
      </c>
      <c r="BL210" s="32">
        <f t="shared" si="205"/>
        <v>19.670418865887</v>
      </c>
      <c r="BM210" s="31">
        <f t="shared" si="206"/>
        <v>74.1752267682711</v>
      </c>
      <c r="BO210">
        <f t="shared" si="207"/>
        <v>0</v>
      </c>
      <c r="BP210">
        <f t="shared" si="208"/>
        <v>0</v>
      </c>
    </row>
    <row r="211" spans="14:68">
      <c r="N211" s="7">
        <v>93</v>
      </c>
      <c r="O211" s="18">
        <f t="shared" si="211"/>
        <v>851.138038202378</v>
      </c>
      <c r="P211" s="86" t="str">
        <f t="shared" ref="P211:P274" si="212">COMPLEX(Adc,0)</f>
        <v>96,0576923076923</v>
      </c>
      <c r="Q211" s="4" t="str">
        <f t="shared" ref="Q211:Q274" si="213">IMSUM(COMPLEX(1,0),IMDIV(COMPLEX(0,2*PI()*O211),COMPLEX(wp_lf,0)))</f>
        <v>1+7,13856770399273i</v>
      </c>
      <c r="R211" s="4">
        <f t="shared" si="171"/>
        <v>7.20826947779341</v>
      </c>
      <c r="S211" s="4">
        <f t="shared" si="172"/>
        <v>1.43161787987163</v>
      </c>
      <c r="T211" s="4" t="str">
        <f t="shared" ref="T211:T274" si="214">IMSUM(COMPLEX(1,0),IMDIV(COMPLEX(0,2*PI()*O211),COMPLEX(wz_esr,0)))</f>
        <v>1+0,0838544136911127i</v>
      </c>
      <c r="U211" s="4">
        <f t="shared" si="173"/>
        <v>1.00350962262226</v>
      </c>
      <c r="V211" s="4">
        <f t="shared" si="174"/>
        <v>0.0836586962273156</v>
      </c>
      <c r="W211" t="str">
        <f t="shared" ref="W211:W274" si="215">IMSUB(COMPLEX(1,0),IMDIV(COMPLEX(0,2*PI()*O211),COMPLEX(wz_rhp,0)))</f>
        <v>1-0,0398118318969994i</v>
      </c>
      <c r="X211" s="4">
        <f t="shared" si="175"/>
        <v>1.00079217720713</v>
      </c>
      <c r="Y211" s="4">
        <f t="shared" si="176"/>
        <v>-0.0397908181987449</v>
      </c>
      <c r="Z211" t="str">
        <f t="shared" ref="Z211:Z274" si="216">IMSUM(COMPLEX(1,0),IMDIV(COMPLEX(0,2*PI()*O211),COMPLEX(Q*(wsl/2),0)),IMDIV(IMPOWER(COMPLEX(0,2*PI()*O211),2),IMPOWER(COMPLEX(wsl/2,0),2)))</f>
        <v>0,999994086237061+0,068245053786458i</v>
      </c>
      <c r="AA211" s="4">
        <f t="shared" si="177"/>
        <v>1.00232008853231</v>
      </c>
      <c r="AB211" s="4">
        <f t="shared" si="178"/>
        <v>0.0681398027020184</v>
      </c>
      <c r="AC211" s="67" t="str">
        <f t="shared" si="179"/>
        <v>1,530906620383-13,2643724006628i</v>
      </c>
      <c r="AD211" s="68">
        <f t="shared" si="180"/>
        <v>22.5112028687664</v>
      </c>
      <c r="AE211" s="31">
        <f t="shared" si="181"/>
        <v>-83.4163412365595</v>
      </c>
      <c r="AF211" s="32" t="str">
        <f t="shared" si="182"/>
        <v>236,914774604583</v>
      </c>
      <c r="AG211" s="32" t="str">
        <f t="shared" ref="AG211:AG274" si="217">IMSUM(COMPLEX(1,0),IMDIV(COMPLEX(0,2*PI()*O211),COMPLEX(wp_lf_DCM,0)))</f>
        <v>1+1,76284846964271i</v>
      </c>
      <c r="AH211" s="32">
        <f t="shared" si="183"/>
        <v>2.0267300577338</v>
      </c>
      <c r="AI211" s="32">
        <f t="shared" si="184"/>
        <v>1.05479549406932</v>
      </c>
      <c r="AJ211" s="32" t="str">
        <f t="shared" ref="AJ211:AJ274" si="218">IMSUM(COMPLEX(1,0),IMDIV(COMPLEX(0,2*PI()*O211),COMPLEX(wz1_dcm,0)))</f>
        <v>1+0,0838544136911127i</v>
      </c>
      <c r="AK211" s="32">
        <f t="shared" si="185"/>
        <v>1.00350962262226</v>
      </c>
      <c r="AL211" s="32">
        <f t="shared" si="186"/>
        <v>0.0836586962273156</v>
      </c>
      <c r="AM211" s="32" t="str">
        <f t="shared" ref="AM211:AM274" si="219">IMSUB(COMPLEX(1,0),IMDIV(COMPLEX(0,2*PI()*O211),COMPLEX(wz2_dcm,0)))</f>
        <v>1-0,00398605801927546i</v>
      </c>
      <c r="AN211" s="32">
        <f t="shared" si="187"/>
        <v>1.00000794429771</v>
      </c>
      <c r="AO211" s="32">
        <f t="shared" si="188"/>
        <v>-0.00398603690843846</v>
      </c>
      <c r="AP211" s="30" t="str">
        <f t="shared" si="189"/>
        <v>65,8166045064563-97,102707049254i</v>
      </c>
      <c r="AQ211" s="32">
        <f t="shared" si="190"/>
        <v>41.3864245657057</v>
      </c>
      <c r="AR211" s="31">
        <f t="shared" si="191"/>
        <v>-55.8704229380332</v>
      </c>
      <c r="AS211" t="str">
        <f t="shared" ref="AS211:AS274" si="220">COMPLEX(Adc_ea,0)</f>
        <v>-0,000272527472527473</v>
      </c>
      <c r="AT211" t="str">
        <f t="shared" ref="AT211:AT274" si="221">COMPLEX(0,2*PI()*O211*wp0_ea)</f>
        <v>0,00120166369619853i</v>
      </c>
      <c r="AU211">
        <f t="shared" si="192"/>
        <v>0.00120166369619853</v>
      </c>
      <c r="AV211">
        <f t="shared" si="193"/>
        <v>1.5707963267949</v>
      </c>
      <c r="AW211" t="str">
        <f t="shared" ref="AW211:AW274" si="222">IMSUM(COMPLEX(1,0),IMDIV(COMPLEX(0,2*PI()*O211),COMPLEX(wp1_ea,0)))</f>
        <v>1+0,0615229771757827i</v>
      </c>
      <c r="AX211">
        <f t="shared" si="194"/>
        <v>1.00189075089082</v>
      </c>
      <c r="AY211">
        <f t="shared" si="195"/>
        <v>0.0614455299232241</v>
      </c>
      <c r="AZ211" t="str">
        <f t="shared" ref="AZ211:AZ274" si="223">IMSUM(COMPLEX(1,0),IMDIV(COMPLEX(0,2*PI()*O211),COMPLEX(wz_ea,0)))</f>
        <v>1+2,94132190880816i</v>
      </c>
      <c r="BA211">
        <f t="shared" si="196"/>
        <v>3.10666615059212</v>
      </c>
      <c r="BB211">
        <f t="shared" si="197"/>
        <v>1.24307288985392</v>
      </c>
      <c r="BC211" s="30" t="str">
        <f t="shared" si="198"/>
        <v>-0,650652015240046+0,266821848976434i</v>
      </c>
      <c r="BD211" s="32">
        <f t="shared" si="199"/>
        <v>-3.0579686829931</v>
      </c>
      <c r="BE211" s="31">
        <f t="shared" si="200"/>
        <v>157.702260681215</v>
      </c>
      <c r="BF211" s="30" t="str">
        <f t="shared" si="201"/>
        <v>2,5431368917603+9,03896996844655i</v>
      </c>
      <c r="BG211" s="68">
        <f t="shared" si="202"/>
        <v>19.4532341857733</v>
      </c>
      <c r="BH211" s="31">
        <f t="shared" si="203"/>
        <v>74.2859194446552</v>
      </c>
      <c r="BI211" s="30" t="str">
        <f t="shared" si="209"/>
        <v>-16,9145825228839+80,7413801346243i</v>
      </c>
      <c r="BJ211" s="68">
        <f t="shared" si="204"/>
        <v>38.3284558827125</v>
      </c>
      <c r="BK211" s="31">
        <f t="shared" si="210"/>
        <v>101.831837743182</v>
      </c>
      <c r="BL211" s="32">
        <f t="shared" si="205"/>
        <v>19.4532341857733</v>
      </c>
      <c r="BM211" s="31">
        <f t="shared" si="206"/>
        <v>74.2859194446552</v>
      </c>
      <c r="BO211">
        <f t="shared" si="207"/>
        <v>0</v>
      </c>
      <c r="BP211">
        <f t="shared" si="208"/>
        <v>0</v>
      </c>
    </row>
    <row r="212" spans="14:68">
      <c r="N212" s="7">
        <v>94</v>
      </c>
      <c r="O212" s="18">
        <f t="shared" si="211"/>
        <v>870.963589956081</v>
      </c>
      <c r="P212" s="86" t="str">
        <f t="shared" si="212"/>
        <v>96,0576923076923</v>
      </c>
      <c r="Q212" s="4" t="str">
        <f t="shared" si="213"/>
        <v>1+7,30484630641746i</v>
      </c>
      <c r="R212" s="4">
        <f t="shared" ref="R212:R275" si="224">IMABS(Q212)</f>
        <v>7.37297630271391</v>
      </c>
      <c r="S212" s="4">
        <f t="shared" ref="S212:S275" si="225">IMARGUMENT(Q212)</f>
        <v>1.43474657482681</v>
      </c>
      <c r="T212" s="4" t="str">
        <f t="shared" si="214"/>
        <v>1+0,0858076339019268i</v>
      </c>
      <c r="U212" s="4">
        <f t="shared" ref="U212:U275" si="226">IMABS(T212)</f>
        <v>1.00367472322254</v>
      </c>
      <c r="V212" s="4">
        <f t="shared" ref="V212:V275" si="227">IMARGUMENT(T212)</f>
        <v>0.0855979603080713</v>
      </c>
      <c r="W212" t="str">
        <f t="shared" si="215"/>
        <v>1-0,0407391685900588i</v>
      </c>
      <c r="X212" s="4">
        <f t="shared" ref="X212:X275" si="228">IMABS(W212)</f>
        <v>1.00082949589698</v>
      </c>
      <c r="Y212" s="4">
        <f t="shared" ref="Y212:Y275" si="229">IMARGUMENT(W212)</f>
        <v>-0.0407166530144924</v>
      </c>
      <c r="Z212" t="str">
        <f t="shared" si="216"/>
        <v>0,99999380753+0,0698346852975055i</v>
      </c>
      <c r="AA212" s="4">
        <f t="shared" ref="AA212:AA275" si="230">IMABS(Z212)</f>
        <v>1.00242929843902</v>
      </c>
      <c r="AB212" s="4">
        <f t="shared" ref="AB212:AB275" si="231">IMARGUMENT(Z212)</f>
        <v>0.0697219214844619</v>
      </c>
      <c r="AC212" s="67" t="str">
        <f t="shared" ref="AC212:AC275" si="232">(IMDIV(IMPRODUCT(P212,T212,W212),IMPRODUCT(Q212,Z212)))</f>
        <v>1,44888380884032-12,9747060088829i</v>
      </c>
      <c r="AD212" s="68">
        <f t="shared" ref="AD212:AD275" si="233">20*LOG(IMABS(AC212))</f>
        <v>22.3157728493339</v>
      </c>
      <c r="AE212" s="31">
        <f t="shared" ref="AE212:AE275" si="234">(180/PI())*IMARGUMENT(AC212)</f>
        <v>-83.6281857620772</v>
      </c>
      <c r="AF212" s="32" t="str">
        <f t="shared" ref="AF212:AF275" si="235">COMPLEX($B$68,0)</f>
        <v>236,914774604583</v>
      </c>
      <c r="AG212" s="32" t="str">
        <f t="shared" si="217"/>
        <v>1+1,80391048543823i</v>
      </c>
      <c r="AH212" s="32">
        <f t="shared" ref="AH212:AH275" si="236">IMABS(AG212)</f>
        <v>2.06254528179965</v>
      </c>
      <c r="AI212" s="32">
        <f t="shared" ref="AI212:AI275" si="237">IMARGUMENT(AG212)</f>
        <v>1.0646185778864</v>
      </c>
      <c r="AJ212" s="32" t="str">
        <f t="shared" si="218"/>
        <v>1+0,0858076339019268i</v>
      </c>
      <c r="AK212" s="32">
        <f t="shared" ref="AK212:AK275" si="238">IMABS(AJ212)</f>
        <v>1.00367472322254</v>
      </c>
      <c r="AL212" s="32">
        <f t="shared" ref="AL212:AL275" si="239">IMARGUMENT(AJ212)</f>
        <v>0.0855979603080713</v>
      </c>
      <c r="AM212" s="32" t="str">
        <f t="shared" si="219"/>
        <v>1-0,00407890523794907i</v>
      </c>
      <c r="AN212" s="32">
        <f t="shared" ref="AN212:AN275" si="240">IMABS(AM212)</f>
        <v>1.00000831869937</v>
      </c>
      <c r="AO212" s="32">
        <f t="shared" ref="AO212:AO275" si="241">IMARGUMENT(AM212)</f>
        <v>-0.00407888261728984</v>
      </c>
      <c r="AP212" s="30" t="str">
        <f t="shared" ref="AP212:AP275" si="242">(IMDIV(IMPRODUCT(AF212,AJ212,AM212),IMPRODUCT(AG212)))</f>
        <v>63,9211103891281-95,9452179416573i</v>
      </c>
      <c r="AQ212" s="32">
        <f t="shared" ref="AQ212:AQ275" si="243">20*LOG(IMABS(AP212))</f>
        <v>41.2357050592654</v>
      </c>
      <c r="AR212" s="31">
        <f t="shared" ref="AR212:AR275" si="244">(180/PI())*IMARGUMENT(AP212)</f>
        <v>-56.3274522026298</v>
      </c>
      <c r="AS212" t="str">
        <f t="shared" si="220"/>
        <v>-0,000272527472527473</v>
      </c>
      <c r="AT212" t="str">
        <f t="shared" si="221"/>
        <v>0,00122965403939815i</v>
      </c>
      <c r="AU212">
        <f t="shared" ref="AU212:AU275" si="245">IMABS(AT212)</f>
        <v>0.00122965403939815</v>
      </c>
      <c r="AV212">
        <f t="shared" ref="AV212:AV275" si="246">IMARGUMENT(AT212)</f>
        <v>1.5707963267949</v>
      </c>
      <c r="AW212" t="str">
        <f t="shared" si="222"/>
        <v>1+0,062956031408227i</v>
      </c>
      <c r="AX212">
        <f t="shared" ref="AX212:AX275" si="247">IMABS(AW212)</f>
        <v>1.00197977119834</v>
      </c>
      <c r="AY212">
        <f t="shared" ref="AY212:AY275" si="248">IMARGUMENT(AW212)</f>
        <v>0.0628730540351938</v>
      </c>
      <c r="AZ212" t="str">
        <f t="shared" si="223"/>
        <v>1+3,00983409732523i</v>
      </c>
      <c r="BA212">
        <f t="shared" ref="BA212:BA275" si="249">IMABS(AZ212)</f>
        <v>3.17160862866489</v>
      </c>
      <c r="BB212">
        <f t="shared" ref="BB212:BB275" si="250">IMARGUMENT(AZ212)</f>
        <v>1.25002628906672</v>
      </c>
      <c r="BC212" s="30" t="str">
        <f t="shared" ref="BC212:BC275" si="251">IMPRODUCT(AS212,IMDIV(AZ212,IMPRODUCT(AT212,AW212)))</f>
        <v>-0,650536406779352+0,262584578720831i</v>
      </c>
      <c r="BD212" s="32">
        <f t="shared" ref="BD212:BD275" si="252">20*LOG(IMABS(BC212))</f>
        <v>-3.07904030545389</v>
      </c>
      <c r="BE212" s="31">
        <f t="shared" ref="BE212:BE275" si="253">(180/PI())*IMARGUMENT(BC212)</f>
        <v>158.018870002609</v>
      </c>
      <c r="BF212" s="30" t="str">
        <f t="shared" ref="BF212:BF275" si="254">IMPRODUCT(AC212,BC212)</f>
        <v>2,46440604452539+8,82097317059692i</v>
      </c>
      <c r="BG212" s="68">
        <f t="shared" ref="BG212:BG275" si="255">20*LOG(IMABS(BF212))</f>
        <v>19.23673254388</v>
      </c>
      <c r="BH212" s="31">
        <f t="shared" ref="BH212:BH275" si="256">(180/PI())*IMARGUMENT(BF212)</f>
        <v>74.3906842405315</v>
      </c>
      <c r="BI212" s="30" t="str">
        <f t="shared" si="209"/>
        <v>-16,3892748364013+79,2005551703245i</v>
      </c>
      <c r="BJ212" s="68">
        <f t="shared" ref="BJ212:BJ275" si="257">20*LOG(IMABS(BI212))</f>
        <v>38.1566647538116</v>
      </c>
      <c r="BK212" s="31">
        <f t="shared" si="210"/>
        <v>101.691417799979</v>
      </c>
      <c r="BL212" s="32">
        <f t="shared" ref="BL212:BL275" si="258">IF($B$31=0,BJ212,BG212)</f>
        <v>19.23673254388</v>
      </c>
      <c r="BM212" s="31">
        <f t="shared" ref="BM212:BM275" si="259">IF($B$31=0,BK212,BH212)</f>
        <v>74.3906842405315</v>
      </c>
      <c r="BO212">
        <f t="shared" ref="BO212:BO275" si="260">SUM((BL213&lt;0)*(BL212&gt;0))*O212</f>
        <v>0</v>
      </c>
      <c r="BP212">
        <f t="shared" ref="BP212:BP275" si="261">IF(BO212&gt;0,BM212,0)</f>
        <v>0</v>
      </c>
    </row>
    <row r="213" spans="14:68">
      <c r="N213" s="7">
        <v>95</v>
      </c>
      <c r="O213" s="18">
        <f t="shared" si="211"/>
        <v>891.250938133747</v>
      </c>
      <c r="P213" s="86" t="str">
        <f t="shared" si="212"/>
        <v>96,0576923076923</v>
      </c>
      <c r="Q213" s="4" t="str">
        <f t="shared" si="213"/>
        <v>1+7,47499803504495i</v>
      </c>
      <c r="R213" s="4">
        <f t="shared" si="224"/>
        <v>7.54159105387755</v>
      </c>
      <c r="S213" s="4">
        <f t="shared" si="225"/>
        <v>1.4378066438772</v>
      </c>
      <c r="T213" s="4" t="str">
        <f t="shared" si="214"/>
        <v>1+0,0878063504560343i</v>
      </c>
      <c r="U213" s="4">
        <f t="shared" si="226"/>
        <v>1.00384757567093</v>
      </c>
      <c r="V213" s="4">
        <f t="shared" si="227"/>
        <v>0.087581727634311</v>
      </c>
      <c r="W213" t="str">
        <f t="shared" si="215"/>
        <v>1-0,0416881057295515i</v>
      </c>
      <c r="X213" s="4">
        <f t="shared" si="228"/>
        <v>1.00086857187111</v>
      </c>
      <c r="Y213" s="4">
        <f t="shared" si="229"/>
        <v>-0.0416639809862967</v>
      </c>
      <c r="Z213" t="str">
        <f t="shared" si="216"/>
        <v>0,99999351568788+0,0714613440830693i</v>
      </c>
      <c r="AA213" s="4">
        <f t="shared" si="230"/>
        <v>1.0025436424994</v>
      </c>
      <c r="AB213" s="4">
        <f t="shared" si="231"/>
        <v>0.0713405320314988</v>
      </c>
      <c r="AC213" s="67" t="str">
        <f t="shared" si="232"/>
        <v>1,37041315321915-12,6909261583082i</v>
      </c>
      <c r="AD213" s="68">
        <f t="shared" si="233"/>
        <v>22.1202141891336</v>
      </c>
      <c r="AE213" s="31">
        <f t="shared" si="234"/>
        <v>-83.8368707559734</v>
      </c>
      <c r="AF213" s="32" t="str">
        <f t="shared" si="235"/>
        <v>236,914774604583</v>
      </c>
      <c r="AG213" s="32" t="str">
        <f t="shared" si="217"/>
        <v>1+1,84592895845072i</v>
      </c>
      <c r="AH213" s="32">
        <f t="shared" si="236"/>
        <v>2.09939365523643</v>
      </c>
      <c r="AI213" s="32">
        <f t="shared" si="237"/>
        <v>1.07432255379057</v>
      </c>
      <c r="AJ213" s="32" t="str">
        <f t="shared" si="218"/>
        <v>1+0,0878063504560343i</v>
      </c>
      <c r="AK213" s="32">
        <f t="shared" si="238"/>
        <v>1.00384757567093</v>
      </c>
      <c r="AL213" s="32">
        <f t="shared" si="239"/>
        <v>0.087581727634311</v>
      </c>
      <c r="AM213" s="32" t="str">
        <f t="shared" si="219"/>
        <v>1-0,00417391514617055i</v>
      </c>
      <c r="AN213" s="32">
        <f t="shared" si="240"/>
        <v>1.00000871074589</v>
      </c>
      <c r="AO213" s="32">
        <f t="shared" si="241"/>
        <v>-0.00417389090770889</v>
      </c>
      <c r="AP213" s="30" t="str">
        <f t="shared" si="242"/>
        <v>62,0713030547625-94,765456236488i</v>
      </c>
      <c r="AQ213" s="32">
        <f t="shared" si="243"/>
        <v>41.0833964485038</v>
      </c>
      <c r="AR213" s="31">
        <f t="shared" si="244"/>
        <v>-56.7752311451657</v>
      </c>
      <c r="AS213" t="str">
        <f t="shared" si="220"/>
        <v>-0,000272527472527473</v>
      </c>
      <c r="AT213" t="str">
        <f t="shared" si="221"/>
        <v>0,00125829636144585i</v>
      </c>
      <c r="AU213">
        <f t="shared" si="245"/>
        <v>0.00125829636144585</v>
      </c>
      <c r="AV213">
        <f t="shared" si="246"/>
        <v>1.5707963267949</v>
      </c>
      <c r="AW213" t="str">
        <f t="shared" si="222"/>
        <v>1+0,0644224657618459i</v>
      </c>
      <c r="AX213">
        <f t="shared" si="247"/>
        <v>1.00207297842764</v>
      </c>
      <c r="AY213">
        <f t="shared" si="248"/>
        <v>0.0643335638356387</v>
      </c>
      <c r="AZ213" t="str">
        <f t="shared" si="223"/>
        <v>1+3,07994213972059i</v>
      </c>
      <c r="BA213">
        <f t="shared" si="249"/>
        <v>3.23821611138396</v>
      </c>
      <c r="BB213">
        <f t="shared" si="250"/>
        <v>1.25685259571511</v>
      </c>
      <c r="BC213" s="30" t="str">
        <f t="shared" si="251"/>
        <v>-0,650415393884307+0,258485850912184i</v>
      </c>
      <c r="BD213" s="32">
        <f t="shared" si="252"/>
        <v>-3.09932348560211</v>
      </c>
      <c r="BE213" s="31">
        <f t="shared" si="253"/>
        <v>158.326307515721</v>
      </c>
      <c r="BF213" s="30" t="str">
        <f t="shared" si="254"/>
        <v>2,38908703605872+8,60860614602379i</v>
      </c>
      <c r="BG213" s="68">
        <f t="shared" si="255"/>
        <v>19.0208907035315</v>
      </c>
      <c r="BH213" s="31">
        <f t="shared" si="256"/>
        <v>74.4894367597475</v>
      </c>
      <c r="BI213" s="30" t="str">
        <f t="shared" si="209"/>
        <v>-15,8766014329056+77,6814651320197i</v>
      </c>
      <c r="BJ213" s="68">
        <f t="shared" si="257"/>
        <v>37.9840729629016</v>
      </c>
      <c r="BK213" s="31">
        <f t="shared" si="210"/>
        <v>101.551076370555</v>
      </c>
      <c r="BL213" s="32">
        <f t="shared" si="258"/>
        <v>19.0208907035315</v>
      </c>
      <c r="BM213" s="31">
        <f t="shared" si="259"/>
        <v>74.4894367597475</v>
      </c>
      <c r="BO213">
        <f t="shared" si="260"/>
        <v>0</v>
      </c>
      <c r="BP213">
        <f t="shared" si="261"/>
        <v>0</v>
      </c>
    </row>
    <row r="214" spans="14:68">
      <c r="N214" s="7">
        <v>96</v>
      </c>
      <c r="O214" s="18">
        <f t="shared" si="211"/>
        <v>912.01083935591</v>
      </c>
      <c r="P214" s="86" t="str">
        <f t="shared" si="212"/>
        <v>96,0576923076923</v>
      </c>
      <c r="Q214" s="4" t="str">
        <f t="shared" si="213"/>
        <v>1+7,6491131065739i</v>
      </c>
      <c r="R214" s="4">
        <f t="shared" si="224"/>
        <v>7.71420321985107</v>
      </c>
      <c r="S214" s="4">
        <f t="shared" si="225"/>
        <v>1.44079948015452</v>
      </c>
      <c r="T214" s="4" t="str">
        <f t="shared" si="214"/>
        <v>1+0,0898516230994079i</v>
      </c>
      <c r="U214" s="4">
        <f t="shared" si="226"/>
        <v>1.00402854250942</v>
      </c>
      <c r="V214" s="4">
        <f t="shared" si="227"/>
        <v>0.0896109875368015</v>
      </c>
      <c r="W214" t="str">
        <f t="shared" si="215"/>
        <v>1-0,0426591464545092i</v>
      </c>
      <c r="X214" s="4">
        <f t="shared" si="228"/>
        <v>1.00090948780408</v>
      </c>
      <c r="Y214" s="4">
        <f t="shared" si="229"/>
        <v>-0.0426332975948242</v>
      </c>
      <c r="Z214" t="str">
        <f t="shared" si="216"/>
        <v>0,999993210091664+0,0731258926191685i</v>
      </c>
      <c r="AA214" s="4">
        <f t="shared" si="230"/>
        <v>1.00266336145328</v>
      </c>
      <c r="AB214" s="4">
        <f t="shared" si="231"/>
        <v>0.0729964587379796</v>
      </c>
      <c r="AC214" s="67" t="str">
        <f t="shared" si="232"/>
        <v>1,29534584761953-12,4129462799105i</v>
      </c>
      <c r="AD214" s="68">
        <f t="shared" si="233"/>
        <v>21.9245358583427</v>
      </c>
      <c r="AE214" s="31">
        <f t="shared" si="234"/>
        <v>-84.0424949776348</v>
      </c>
      <c r="AF214" s="32" t="str">
        <f t="shared" si="235"/>
        <v>236,914774604583</v>
      </c>
      <c r="AG214" s="32" t="str">
        <f t="shared" si="217"/>
        <v>1+1,88892616743073i</v>
      </c>
      <c r="AH214" s="32">
        <f t="shared" si="236"/>
        <v>2.13729784213725</v>
      </c>
      <c r="AI214" s="32">
        <f t="shared" si="237"/>
        <v>1.08390525583591</v>
      </c>
      <c r="AJ214" s="32" t="str">
        <f t="shared" si="218"/>
        <v>1+0,0898516230994079i</v>
      </c>
      <c r="AK214" s="32">
        <f t="shared" si="238"/>
        <v>1.00402854250942</v>
      </c>
      <c r="AL214" s="32">
        <f t="shared" si="239"/>
        <v>0.0896109875368015</v>
      </c>
      <c r="AM214" s="32" t="str">
        <f t="shared" si="219"/>
        <v>1-0,00427113811945082i</v>
      </c>
      <c r="AN214" s="32">
        <f t="shared" si="240"/>
        <v>1.00000912126882</v>
      </c>
      <c r="AO214" s="32">
        <f t="shared" si="241"/>
        <v>-0.00427111214748401</v>
      </c>
      <c r="AP214" s="30" t="str">
        <f t="shared" si="242"/>
        <v>60,2674407366712-93,5654645420015i</v>
      </c>
      <c r="AQ214" s="32">
        <f t="shared" si="243"/>
        <v>40.929542367706</v>
      </c>
      <c r="AR214" s="31">
        <f t="shared" si="244"/>
        <v>-57.2135818674648</v>
      </c>
      <c r="AS214" t="str">
        <f t="shared" si="220"/>
        <v>-0,000272527472527473</v>
      </c>
      <c r="AT214" t="str">
        <f t="shared" si="221"/>
        <v>0,00128760584887991i</v>
      </c>
      <c r="AU214">
        <f t="shared" si="245"/>
        <v>0.00128760584887991</v>
      </c>
      <c r="AV214">
        <f t="shared" si="246"/>
        <v>1.5707963267949</v>
      </c>
      <c r="AW214" t="str">
        <f t="shared" si="222"/>
        <v>1+0,0659230577595437i</v>
      </c>
      <c r="AX214">
        <f t="shared" si="247"/>
        <v>1.0021705690871</v>
      </c>
      <c r="AY214">
        <f t="shared" si="248"/>
        <v>0.0658278087689565</v>
      </c>
      <c r="AZ214" t="str">
        <f t="shared" si="223"/>
        <v>1+3,15168320820627i</v>
      </c>
      <c r="BA214">
        <f t="shared" si="249"/>
        <v>3.3065249197442</v>
      </c>
      <c r="BB214">
        <f t="shared" si="250"/>
        <v>1.26355288356543</v>
      </c>
      <c r="BC214" s="30" t="str">
        <f t="shared" si="251"/>
        <v>-0,650288726072212+0,254523443885284i</v>
      </c>
      <c r="BD214" s="32">
        <f t="shared" si="252"/>
        <v>-3.11884993475747</v>
      </c>
      <c r="BE214" s="31">
        <f t="shared" si="253"/>
        <v>158.624591802829</v>
      </c>
      <c r="BF214" s="30" t="str">
        <f t="shared" si="254"/>
        <v>2,31703703485441+8,40169490932443i</v>
      </c>
      <c r="BG214" s="68">
        <f t="shared" si="255"/>
        <v>18.8056859235853</v>
      </c>
      <c r="BH214" s="31">
        <f t="shared" si="256"/>
        <v>74.582096825194</v>
      </c>
      <c r="BI214" s="30" t="str">
        <f t="shared" si="209"/>
        <v>-15,3766329963258+76,1840433118227i</v>
      </c>
      <c r="BJ214" s="68">
        <f t="shared" si="257"/>
        <v>37.8106924329485</v>
      </c>
      <c r="BK214" s="31">
        <f t="shared" si="210"/>
        <v>101.411009935364</v>
      </c>
      <c r="BL214" s="32">
        <f t="shared" si="258"/>
        <v>18.8056859235853</v>
      </c>
      <c r="BM214" s="31">
        <f t="shared" si="259"/>
        <v>74.582096825194</v>
      </c>
      <c r="BO214">
        <f t="shared" si="260"/>
        <v>0</v>
      </c>
      <c r="BP214">
        <f t="shared" si="261"/>
        <v>0</v>
      </c>
    </row>
    <row r="215" spans="14:68">
      <c r="N215" s="7">
        <v>97</v>
      </c>
      <c r="O215" s="18">
        <f t="shared" si="211"/>
        <v>933.254300796991</v>
      </c>
      <c r="P215" s="86" t="str">
        <f t="shared" si="212"/>
        <v>96,0576923076923</v>
      </c>
      <c r="Q215" s="4" t="str">
        <f t="shared" si="213"/>
        <v>1+7,82728383911993i</v>
      </c>
      <c r="R215" s="4">
        <f t="shared" si="224"/>
        <v>7.8909044030547</v>
      </c>
      <c r="S215" s="4">
        <f t="shared" si="225"/>
        <v>1.44372645593027</v>
      </c>
      <c r="T215" s="4" t="str">
        <f t="shared" si="214"/>
        <v>1+0,0919445362626755i</v>
      </c>
      <c r="U215" s="4">
        <f t="shared" si="226"/>
        <v>1.00421800309921</v>
      </c>
      <c r="V215" s="4">
        <f t="shared" si="227"/>
        <v>0.0916867490687297</v>
      </c>
      <c r="W215" t="str">
        <f t="shared" si="215"/>
        <v>1-0,0436528056235775i</v>
      </c>
      <c r="X215" s="4">
        <f t="shared" si="228"/>
        <v>1.00095233025295</v>
      </c>
      <c r="Y215" s="4">
        <f t="shared" si="229"/>
        <v>-0.0436251094944568</v>
      </c>
      <c r="Z215" t="str">
        <f t="shared" si="216"/>
        <v>0,999992890093143+0,07482921347147i</v>
      </c>
      <c r="AA215" s="4">
        <f t="shared" si="230"/>
        <v>1.00278870726868</v>
      </c>
      <c r="AB215" s="4">
        <f t="shared" si="231"/>
        <v>0.0746905433913195</v>
      </c>
      <c r="AC215" s="67" t="str">
        <f t="shared" si="232"/>
        <v>1,22353880602887-12,1406788545865i</v>
      </c>
      <c r="AD215" s="68">
        <f t="shared" si="233"/>
        <v>21.7287466041858</v>
      </c>
      <c r="AE215" s="31">
        <f t="shared" si="234"/>
        <v>-84.2451564979613</v>
      </c>
      <c r="AF215" s="32" t="str">
        <f t="shared" si="235"/>
        <v>236,914774604583</v>
      </c>
      <c r="AG215" s="32" t="str">
        <f t="shared" si="217"/>
        <v>1+1,93292491006761i</v>
      </c>
      <c r="AH215" s="32">
        <f t="shared" si="236"/>
        <v>2.17628093498056</v>
      </c>
      <c r="AI215" s="32">
        <f t="shared" si="237"/>
        <v>1.09336472439049</v>
      </c>
      <c r="AJ215" s="32" t="str">
        <f t="shared" si="218"/>
        <v>1+0,0919445362626755i</v>
      </c>
      <c r="AK215" s="32">
        <f t="shared" si="238"/>
        <v>1.00421800309921</v>
      </c>
      <c r="AL215" s="32">
        <f t="shared" si="239"/>
        <v>0.0916867490687297</v>
      </c>
      <c r="AM215" s="32" t="str">
        <f t="shared" si="219"/>
        <v>1-0,00437062570669722i</v>
      </c>
      <c r="AN215" s="32">
        <f t="shared" si="240"/>
        <v>1.00000955113892</v>
      </c>
      <c r="AO215" s="32">
        <f t="shared" si="241"/>
        <v>-0.00437059787724775</v>
      </c>
      <c r="AP215" s="30" t="str">
        <f t="shared" si="242"/>
        <v>58,5096740390311-92,3472531493679i</v>
      </c>
      <c r="AQ215" s="32">
        <f t="shared" si="243"/>
        <v>40.7741867735177</v>
      </c>
      <c r="AR215" s="31">
        <f t="shared" si="244"/>
        <v>-57.6423372294613</v>
      </c>
      <c r="AS215" t="str">
        <f t="shared" si="220"/>
        <v>-0,000272527472527473</v>
      </c>
      <c r="AT215" t="str">
        <f t="shared" si="221"/>
        <v>0,00131759804197852i</v>
      </c>
      <c r="AU215">
        <f t="shared" si="245"/>
        <v>0.00131759804197852</v>
      </c>
      <c r="AV215">
        <f t="shared" si="246"/>
        <v>1.5707963267949</v>
      </c>
      <c r="AW215" t="str">
        <f t="shared" si="222"/>
        <v>1+0,0674586030350604i</v>
      </c>
      <c r="AX215">
        <f t="shared" si="247"/>
        <v>1.00227274886801</v>
      </c>
      <c r="AY215">
        <f t="shared" si="248"/>
        <v>0.0673565543981371</v>
      </c>
      <c r="AZ215" t="str">
        <f t="shared" si="223"/>
        <v>1+3,22509534084639i</v>
      </c>
      <c r="BA215">
        <f t="shared" si="249"/>
        <v>3.37657222009971</v>
      </c>
      <c r="BB215">
        <f t="shared" si="250"/>
        <v>1.27012829794289</v>
      </c>
      <c r="BC215" s="30" t="str">
        <f t="shared" si="251"/>
        <v>-0,650156141458703+0,250695204837326i</v>
      </c>
      <c r="BD215" s="32">
        <f t="shared" si="252"/>
        <v>-3.13765063023045</v>
      </c>
      <c r="BE215" s="31">
        <f t="shared" si="253"/>
        <v>158.913744622705</v>
      </c>
      <c r="BF215" s="30" t="str">
        <f t="shared" si="254"/>
        <v>2,24811870326204+8,20007223039105i</v>
      </c>
      <c r="BG215" s="68">
        <f t="shared" si="255"/>
        <v>18.5910959739553</v>
      </c>
      <c r="BH215" s="31">
        <f t="shared" si="256"/>
        <v>74.6685881247442</v>
      </c>
      <c r="BI215" s="30" t="str">
        <f t="shared" si="209"/>
        <v>-14,8894103667777+74,7082285000832i</v>
      </c>
      <c r="BJ215" s="68">
        <f t="shared" si="257"/>
        <v>37.6365361432873</v>
      </c>
      <c r="BK215" s="31">
        <f t="shared" si="210"/>
        <v>101.271407393244</v>
      </c>
      <c r="BL215" s="32">
        <f t="shared" si="258"/>
        <v>18.5910959739553</v>
      </c>
      <c r="BM215" s="31">
        <f t="shared" si="259"/>
        <v>74.6685881247442</v>
      </c>
      <c r="BO215">
        <f t="shared" si="260"/>
        <v>0</v>
      </c>
      <c r="BP215">
        <f t="shared" si="261"/>
        <v>0</v>
      </c>
    </row>
    <row r="216" spans="14:68">
      <c r="N216" s="7">
        <v>98</v>
      </c>
      <c r="O216" s="18">
        <f t="shared" si="211"/>
        <v>954.992586021437</v>
      </c>
      <c r="P216" s="86" t="str">
        <f t="shared" si="212"/>
        <v>96,0576923076923</v>
      </c>
      <c r="Q216" s="4" t="str">
        <f t="shared" si="213"/>
        <v>1+8,00960470116384i</v>
      </c>
      <c r="R216" s="4">
        <f t="shared" si="224"/>
        <v>8.07178836868917</v>
      </c>
      <c r="S216" s="4">
        <f t="shared" si="225"/>
        <v>1.4465889224115</v>
      </c>
      <c r="T216" s="4" t="str">
        <f t="shared" si="214"/>
        <v>1+0,0940861996360996i</v>
      </c>
      <c r="U216" s="4">
        <f t="shared" si="226"/>
        <v>1.00441635438794</v>
      </c>
      <c r="V216" s="4">
        <f t="shared" si="227"/>
        <v>0.0938100412346756</v>
      </c>
      <c r="W216" t="str">
        <f t="shared" si="215"/>
        <v>1-0,0446696100880009i</v>
      </c>
      <c r="X216" s="4">
        <f t="shared" si="228"/>
        <v>1.00099718983892</v>
      </c>
      <c r="Y216" s="4">
        <f t="shared" si="229"/>
        <v>-0.0446399347474563</v>
      </c>
      <c r="Z216" t="str">
        <f t="shared" si="216"/>
        <v>0,999992555013556+0,0765722097632359i</v>
      </c>
      <c r="AA216" s="4">
        <f t="shared" si="230"/>
        <v>1.00291994365979</v>
      </c>
      <c r="AB216" s="4">
        <f t="shared" si="231"/>
        <v>0.0764236454497526</v>
      </c>
      <c r="AC216" s="67" t="str">
        <f t="shared" si="232"/>
        <v>1,15485448424274-11,8740356095298i</v>
      </c>
      <c r="AD216" s="68">
        <f t="shared" si="233"/>
        <v>21.532854966117</v>
      </c>
      <c r="AE216" s="31">
        <f t="shared" si="234"/>
        <v>-84.4449527039052</v>
      </c>
      <c r="AF216" s="32" t="str">
        <f t="shared" si="235"/>
        <v>236,914774604583</v>
      </c>
      <c r="AG216" s="32" t="str">
        <f t="shared" si="217"/>
        <v>1+1,97794851507709i</v>
      </c>
      <c r="AH216" s="32">
        <f t="shared" si="236"/>
        <v>2.21636646976434</v>
      </c>
      <c r="AI216" s="32">
        <f t="shared" si="237"/>
        <v>1.10269920254749</v>
      </c>
      <c r="AJ216" s="32" t="str">
        <f t="shared" si="218"/>
        <v>1+0,0940861996360996i</v>
      </c>
      <c r="AK216" s="32">
        <f t="shared" si="238"/>
        <v>1.00441635438794</v>
      </c>
      <c r="AL216" s="32">
        <f t="shared" si="239"/>
        <v>0.0938100412346756</v>
      </c>
      <c r="AM216" s="32" t="str">
        <f t="shared" si="219"/>
        <v>1-0,00447243065754539i</v>
      </c>
      <c r="AN216" s="32">
        <f t="shared" si="240"/>
        <v>1.00001000126798</v>
      </c>
      <c r="AO216" s="32">
        <f t="shared" si="241"/>
        <v>-0.00447240083776913</v>
      </c>
      <c r="AP216" s="30" t="str">
        <f t="shared" si="242"/>
        <v>56,7980507617323-91,1127942844204i</v>
      </c>
      <c r="AQ216" s="32">
        <f t="shared" si="243"/>
        <v>40.617373858129</v>
      </c>
      <c r="AR216" s="31">
        <f t="shared" si="244"/>
        <v>-58.0613406320126</v>
      </c>
      <c r="AS216" t="str">
        <f t="shared" si="220"/>
        <v>-0,000272527472527473</v>
      </c>
      <c r="AT216" t="str">
        <f t="shared" si="221"/>
        <v>0,00134828884299946i</v>
      </c>
      <c r="AU216">
        <f t="shared" si="245"/>
        <v>0.00134828884299946</v>
      </c>
      <c r="AV216">
        <f t="shared" si="246"/>
        <v>1.5707963267949</v>
      </c>
      <c r="AW216" t="str">
        <f t="shared" si="222"/>
        <v>1+0,0690299157548266i</v>
      </c>
      <c r="AX216">
        <f t="shared" si="247"/>
        <v>1.00237973306982</v>
      </c>
      <c r="AY216">
        <f t="shared" si="248"/>
        <v>0.0689205826860611</v>
      </c>
      <c r="AZ216" t="str">
        <f t="shared" si="223"/>
        <v>1+3,30021746172543i</v>
      </c>
      <c r="BA216">
        <f t="shared" si="249"/>
        <v>3.44839604666828</v>
      </c>
      <c r="BB216">
        <f t="shared" si="250"/>
        <v>1.27658005004378</v>
      </c>
      <c r="BC216" s="30" t="str">
        <f t="shared" si="251"/>
        <v>-0,650017366258728+0,246999048448087i</v>
      </c>
      <c r="BD216" s="32">
        <f t="shared" si="252"/>
        <v>-3.15575581785225</v>
      </c>
      <c r="BE216" s="31">
        <f t="shared" si="253"/>
        <v>159.193790568614</v>
      </c>
      <c r="BF216" s="30" t="str">
        <f t="shared" si="254"/>
        <v>2,18220002653301+8,00357731247287i</v>
      </c>
      <c r="BG216" s="68">
        <f t="shared" si="255"/>
        <v>18.3770991482648</v>
      </c>
      <c r="BH216" s="31">
        <f t="shared" si="256"/>
        <v>74.7488378647091</v>
      </c>
      <c r="BI216" s="30" t="str">
        <f t="shared" si="209"/>
        <v>-14,4149458750726+73,2539630650863i</v>
      </c>
      <c r="BJ216" s="68">
        <f t="shared" si="257"/>
        <v>37.4616180402767</v>
      </c>
      <c r="BK216" s="31">
        <f t="shared" si="210"/>
        <v>101.132449936602</v>
      </c>
      <c r="BL216" s="32">
        <f t="shared" si="258"/>
        <v>18.3770991482648</v>
      </c>
      <c r="BM216" s="31">
        <f t="shared" si="259"/>
        <v>74.7488378647091</v>
      </c>
      <c r="BO216">
        <f t="shared" si="260"/>
        <v>0</v>
      </c>
      <c r="BP216">
        <f t="shared" si="261"/>
        <v>0</v>
      </c>
    </row>
    <row r="217" spans="14:68">
      <c r="N217" s="7">
        <v>99</v>
      </c>
      <c r="O217" s="18">
        <f t="shared" si="211"/>
        <v>977.237220955811</v>
      </c>
      <c r="P217" s="86" t="str">
        <f t="shared" si="212"/>
        <v>96,0576923076923</v>
      </c>
      <c r="Q217" s="4" t="str">
        <f t="shared" si="213"/>
        <v>1+8,19617236163993i</v>
      </c>
      <c r="R217" s="4">
        <f t="shared" si="224"/>
        <v>8.25695109478736</v>
      </c>
      <c r="S217" s="4">
        <f t="shared" si="225"/>
        <v>1.44938820958186</v>
      </c>
      <c r="T217" s="4" t="str">
        <f t="shared" si="214"/>
        <v>1+0,0962777487579487i</v>
      </c>
      <c r="U217" s="4">
        <f t="shared" si="226"/>
        <v>1.0046240117108</v>
      </c>
      <c r="V217" s="4">
        <f t="shared" si="227"/>
        <v>0.0959819132092949</v>
      </c>
      <c r="W217" t="str">
        <f t="shared" si="215"/>
        <v>1-0,0457100989709649i</v>
      </c>
      <c r="X217" s="4">
        <f t="shared" si="228"/>
        <v>1.00104416143741</v>
      </c>
      <c r="Y217" s="4">
        <f t="shared" si="229"/>
        <v>-0.0456783030617367</v>
      </c>
      <c r="Z217" t="str">
        <f t="shared" si="216"/>
        <v>0,999992204142155+0,0783558056541712i</v>
      </c>
      <c r="AA217" s="4">
        <f t="shared" si="230"/>
        <v>1.0030573466282</v>
      </c>
      <c r="AB217" s="4">
        <f t="shared" si="231"/>
        <v>0.0781966423183052</v>
      </c>
      <c r="AC217" s="67" t="str">
        <f t="shared" si="232"/>
        <v>1,08916070332937-11,6129277006176i</v>
      </c>
      <c r="AD217" s="68">
        <f t="shared" si="233"/>
        <v>21.3368692907764</v>
      </c>
      <c r="AE217" s="31">
        <f t="shared" si="234"/>
        <v>-84.6419803062699</v>
      </c>
      <c r="AF217" s="32" t="str">
        <f t="shared" si="235"/>
        <v>236,914774604583</v>
      </c>
      <c r="AG217" s="32" t="str">
        <f t="shared" si="217"/>
        <v>1+2,02402085457051i</v>
      </c>
      <c r="AH217" s="32">
        <f t="shared" si="236"/>
        <v>2.25757844154668</v>
      </c>
      <c r="AI217" s="32">
        <f t="shared" si="237"/>
        <v>1.1119071319786</v>
      </c>
      <c r="AJ217" s="32" t="str">
        <f t="shared" si="218"/>
        <v>1+0,0962777487579487i</v>
      </c>
      <c r="AK217" s="32">
        <f t="shared" si="238"/>
        <v>1.0046240117108</v>
      </c>
      <c r="AL217" s="32">
        <f t="shared" si="239"/>
        <v>0.0959819132092949</v>
      </c>
      <c r="AM217" s="32" t="str">
        <f t="shared" si="219"/>
        <v>1-0,0045766069503278i</v>
      </c>
      <c r="AN217" s="32">
        <f t="shared" si="240"/>
        <v>1.00001047261075</v>
      </c>
      <c r="AO217" s="32">
        <f t="shared" si="241"/>
        <v>-0.00457657499787994</v>
      </c>
      <c r="AP217" s="30" t="str">
        <f t="shared" si="242"/>
        <v>55,1325209882502-89,8640169029293i</v>
      </c>
      <c r="AQ217" s="32">
        <f t="shared" si="243"/>
        <v>40.459147967099</v>
      </c>
      <c r="AR217" s="31">
        <f t="shared" si="244"/>
        <v>-58.4704457683899</v>
      </c>
      <c r="AS217" t="str">
        <f t="shared" si="220"/>
        <v>-0,000272527472527473</v>
      </c>
      <c r="AT217" t="str">
        <f t="shared" si="221"/>
        <v>0,00137969452461168i</v>
      </c>
      <c r="AU217">
        <f t="shared" si="245"/>
        <v>0.00137969452461168</v>
      </c>
      <c r="AV217">
        <f t="shared" si="246"/>
        <v>1.5707963267949</v>
      </c>
      <c r="AW217" t="str">
        <f t="shared" si="222"/>
        <v>1+0,0706378290496448i</v>
      </c>
      <c r="AX217">
        <f t="shared" si="247"/>
        <v>1.00249174704476</v>
      </c>
      <c r="AY217">
        <f t="shared" si="248"/>
        <v>0.0705206922768056</v>
      </c>
      <c r="AZ217" t="str">
        <f t="shared" si="223"/>
        <v>1+3,3770894015862i</v>
      </c>
      <c r="BA217">
        <f t="shared" si="249"/>
        <v>3.52203532439779</v>
      </c>
      <c r="BB217">
        <f t="shared" si="250"/>
        <v>1.28290941144677</v>
      </c>
      <c r="BC217" s="30" t="str">
        <f t="shared" si="251"/>
        <v>-0,649872114267575+0,243432955519558i</v>
      </c>
      <c r="BD217" s="32">
        <f t="shared" si="252"/>
        <v>-3.1731950169493</v>
      </c>
      <c r="BE217" s="31">
        <f t="shared" si="253"/>
        <v>159.464756737711</v>
      </c>
      <c r="BF217" s="30" t="str">
        <f t="shared" si="254"/>
        <v>2,11915414334647+7,81205548668408i</v>
      </c>
      <c r="BG217" s="68">
        <f t="shared" si="255"/>
        <v>18.1636742738271</v>
      </c>
      <c r="BH217" s="31">
        <f t="shared" si="256"/>
        <v>74.8227764314407</v>
      </c>
      <c r="BI217" s="30" t="str">
        <f t="shared" si="209"/>
        <v>-13,953224749996+71,8211911906976i</v>
      </c>
      <c r="BJ217" s="68">
        <f t="shared" si="257"/>
        <v>37.2859529501497</v>
      </c>
      <c r="BK217" s="31">
        <f t="shared" si="210"/>
        <v>100.994310969321</v>
      </c>
      <c r="BL217" s="32">
        <f t="shared" si="258"/>
        <v>18.1636742738271</v>
      </c>
      <c r="BM217" s="31">
        <f t="shared" si="259"/>
        <v>74.8227764314407</v>
      </c>
      <c r="BO217">
        <f t="shared" si="260"/>
        <v>0</v>
      </c>
      <c r="BP217">
        <f t="shared" si="261"/>
        <v>0</v>
      </c>
    </row>
    <row r="218" spans="14:68">
      <c r="N218" s="7">
        <v>100</v>
      </c>
      <c r="O218" s="18">
        <f t="shared" si="211"/>
        <v>1000</v>
      </c>
      <c r="P218" s="86" t="str">
        <f t="shared" si="212"/>
        <v>96,0576923076923</v>
      </c>
      <c r="Q218" s="4" t="str">
        <f t="shared" si="213"/>
        <v>1+8,38708574119134i</v>
      </c>
      <c r="R218" s="4">
        <f t="shared" si="224"/>
        <v>8.44649082341863</v>
      </c>
      <c r="S218" s="4">
        <f t="shared" si="225"/>
        <v>1.45212562608462</v>
      </c>
      <c r="T218" s="4" t="str">
        <f t="shared" si="214"/>
        <v>1+0,098520345616576i</v>
      </c>
      <c r="U218" s="4">
        <f t="shared" si="226"/>
        <v>1.00484140962662</v>
      </c>
      <c r="V218" s="4">
        <f t="shared" si="227"/>
        <v>0.0982034345444615</v>
      </c>
      <c r="W218" t="str">
        <f t="shared" si="215"/>
        <v>1-0,0467748239534481i</v>
      </c>
      <c r="X218" s="4">
        <f t="shared" si="228"/>
        <v>1.00109334437697</v>
      </c>
      <c r="Y218" s="4">
        <f t="shared" si="229"/>
        <v>-0.0467407560322033</v>
      </c>
      <c r="Z218" t="str">
        <f t="shared" si="216"/>
        <v>0,999991836734694+0,0801809468304261i</v>
      </c>
      <c r="AA218" s="4">
        <f t="shared" si="230"/>
        <v>1.00320120502851</v>
      </c>
      <c r="AB218" s="4">
        <f t="shared" si="231"/>
        <v>0.0800104296218467</v>
      </c>
      <c r="AC218" s="67" t="str">
        <f t="shared" si="232"/>
        <v>1,02633047506202-11,3572658815464i</v>
      </c>
      <c r="AD218" s="68">
        <f t="shared" si="233"/>
        <v>21.1407977467244</v>
      </c>
      <c r="AE218" s="31">
        <f t="shared" si="234"/>
        <v>-84.8363353506106</v>
      </c>
      <c r="AF218" s="32" t="str">
        <f t="shared" si="235"/>
        <v>236,914774604583</v>
      </c>
      <c r="AG218" s="32" t="str">
        <f t="shared" si="217"/>
        <v>1+2,07116635671211i</v>
      </c>
      <c r="AH218" s="32">
        <f t="shared" si="236"/>
        <v>2.2999413203767</v>
      </c>
      <c r="AI218" s="32">
        <f t="shared" si="237"/>
        <v>1.12098714828525</v>
      </c>
      <c r="AJ218" s="32" t="str">
        <f t="shared" si="218"/>
        <v>1+0,098520345616576i</v>
      </c>
      <c r="AK218" s="32">
        <f t="shared" si="238"/>
        <v>1.00484140962662</v>
      </c>
      <c r="AL218" s="32">
        <f t="shared" si="239"/>
        <v>0.0982034345444615</v>
      </c>
      <c r="AM218" s="32" t="str">
        <f t="shared" si="219"/>
        <v>1-0,00468320982069383i</v>
      </c>
      <c r="AN218" s="32">
        <f t="shared" si="240"/>
        <v>1.00001096616698</v>
      </c>
      <c r="AO218" s="32">
        <f t="shared" si="241"/>
        <v>-0.00468317558304937</v>
      </c>
      <c r="AP218" s="30" t="str">
        <f t="shared" si="242"/>
        <v>53,5129423803882-88,6028020303126i</v>
      </c>
      <c r="AQ218" s="32">
        <f t="shared" si="243"/>
        <v>40.2995535220392</v>
      </c>
      <c r="AR218" s="31">
        <f t="shared" si="244"/>
        <v>-58.8695163476912</v>
      </c>
      <c r="AS218" t="str">
        <f t="shared" si="220"/>
        <v>-0,000272527472527473</v>
      </c>
      <c r="AT218" t="str">
        <f t="shared" si="221"/>
        <v>0,00141183173852325i</v>
      </c>
      <c r="AU218">
        <f t="shared" si="245"/>
        <v>0.00141183173852325</v>
      </c>
      <c r="AV218">
        <f t="shared" si="246"/>
        <v>1.5707963267949</v>
      </c>
      <c r="AW218" t="str">
        <f t="shared" si="222"/>
        <v>1+0,0722831954564274i</v>
      </c>
      <c r="AX218">
        <f t="shared" si="247"/>
        <v>1.00260902666263</v>
      </c>
      <c r="AY218">
        <f t="shared" si="248"/>
        <v>0.0721576987765131</v>
      </c>
      <c r="AZ218" t="str">
        <f t="shared" si="223"/>
        <v>1+3,45575191894877i</v>
      </c>
      <c r="BA218">
        <f t="shared" si="249"/>
        <v>3.59752989220633</v>
      </c>
      <c r="BB218">
        <f t="shared" si="250"/>
        <v>1.28911770882925</v>
      </c>
      <c r="BC218" s="30" t="str">
        <f t="shared" si="251"/>
        <v>-0,649720086321497+0,239994971633236i</v>
      </c>
      <c r="BD218" s="32">
        <f t="shared" si="252"/>
        <v>-3.18999702757561</v>
      </c>
      <c r="BE218" s="31">
        <f t="shared" si="253"/>
        <v>159.72667241222</v>
      </c>
      <c r="BF218" s="30" t="str">
        <f t="shared" si="254"/>
        <v>2,05885917822117+7,62535792218335i</v>
      </c>
      <c r="BG218" s="68">
        <f t="shared" si="255"/>
        <v>17.9508007191488</v>
      </c>
      <c r="BH218" s="31">
        <f t="shared" si="256"/>
        <v>74.8903370616092</v>
      </c>
      <c r="BI218" s="30" t="str">
        <f t="shared" si="209"/>
        <v>-13,504206582813+70,4098572720535i</v>
      </c>
      <c r="BJ218" s="68">
        <f t="shared" si="257"/>
        <v>37.1095564944636</v>
      </c>
      <c r="BK218" s="31">
        <f t="shared" si="210"/>
        <v>100.857156064529</v>
      </c>
      <c r="BL218" s="32">
        <f t="shared" si="258"/>
        <v>17.9508007191488</v>
      </c>
      <c r="BM218" s="31">
        <f t="shared" si="259"/>
        <v>74.8903370616092</v>
      </c>
      <c r="BO218">
        <f t="shared" si="260"/>
        <v>0</v>
      </c>
      <c r="BP218">
        <f t="shared" si="261"/>
        <v>0</v>
      </c>
    </row>
    <row r="219" spans="14:68">
      <c r="N219" s="7">
        <v>1</v>
      </c>
      <c r="O219" s="18">
        <f>10^(3+(N219/100))</f>
        <v>1023.29299228075</v>
      </c>
      <c r="P219" s="86" t="str">
        <f t="shared" si="212"/>
        <v>96,0576923076923</v>
      </c>
      <c r="Q219" s="4" t="str">
        <f t="shared" si="213"/>
        <v>1+8,58244606461889i</v>
      </c>
      <c r="R219" s="4">
        <f t="shared" si="224"/>
        <v>8.64050811307369</v>
      </c>
      <c r="S219" s="4">
        <f t="shared" si="225"/>
        <v>1.4548024591446</v>
      </c>
      <c r="T219" s="4" t="str">
        <f t="shared" si="214"/>
        <v>1+0,10081517926652i</v>
      </c>
      <c r="U219" s="4">
        <f t="shared" si="226"/>
        <v>1.00506900279062</v>
      </c>
      <c r="V219" s="4">
        <f t="shared" si="227"/>
        <v>0.100475695363516</v>
      </c>
      <c r="W219" t="str">
        <f t="shared" si="215"/>
        <v>1-0,0478643495667292i</v>
      </c>
      <c r="X219" s="4">
        <f t="shared" si="228"/>
        <v>1.00114484264738</v>
      </c>
      <c r="Y219" s="4">
        <f t="shared" si="229"/>
        <v>-0.0478278473855972</v>
      </c>
      <c r="Z219" t="str">
        <f t="shared" si="216"/>
        <v>0,999991452011853+0,0820486010060104i</v>
      </c>
      <c r="AA219" s="4">
        <f t="shared" si="230"/>
        <v>1.00335182115937</v>
      </c>
      <c r="AB219" s="4">
        <f t="shared" si="231"/>
        <v>0.0818659214745187</v>
      </c>
      <c r="AC219" s="67" t="str">
        <f t="shared" si="232"/>
        <v>0,966241829689638-11,1069606604283i</v>
      </c>
      <c r="AD219" s="68">
        <f t="shared" si="233"/>
        <v>20.9446483389667</v>
      </c>
      <c r="AE219" s="31">
        <f t="shared" si="234"/>
        <v>-85.0281132310971</v>
      </c>
      <c r="AF219" s="32" t="str">
        <f t="shared" si="235"/>
        <v>236,914774604583</v>
      </c>
      <c r="AG219" s="32" t="str">
        <f t="shared" si="217"/>
        <v>1+2,11941001867115i</v>
      </c>
      <c r="AH219" s="32">
        <f t="shared" si="236"/>
        <v>2.3434800676011</v>
      </c>
      <c r="AI219" s="32">
        <f t="shared" si="237"/>
        <v>1.12993807590282</v>
      </c>
      <c r="AJ219" s="32" t="str">
        <f t="shared" si="218"/>
        <v>1+0,10081517926652i</v>
      </c>
      <c r="AK219" s="32">
        <f t="shared" si="238"/>
        <v>1.00506900279062</v>
      </c>
      <c r="AL219" s="32">
        <f t="shared" si="239"/>
        <v>0.100475695363516</v>
      </c>
      <c r="AM219" s="32" t="str">
        <f t="shared" si="219"/>
        <v>1-0,00479229579089638i</v>
      </c>
      <c r="AN219" s="32">
        <f t="shared" si="240"/>
        <v>1.00001148298354</v>
      </c>
      <c r="AO219" s="32">
        <f t="shared" si="241"/>
        <v>-0.00479225910462213</v>
      </c>
      <c r="AP219" s="30" t="str">
        <f t="shared" si="242"/>
        <v>51,9390856261959-87,3309786412687i</v>
      </c>
      <c r="AQ219" s="32">
        <f t="shared" si="243"/>
        <v>40.1386349483198</v>
      </c>
      <c r="AR219" s="31">
        <f t="shared" si="244"/>
        <v>-59.258425793421</v>
      </c>
      <c r="AS219" t="str">
        <f t="shared" si="220"/>
        <v>-0,000272527472527473</v>
      </c>
      <c r="AT219" t="str">
        <f t="shared" si="221"/>
        <v>0,00144471752431039i</v>
      </c>
      <c r="AU219">
        <f t="shared" si="245"/>
        <v>0.00144471752431039</v>
      </c>
      <c r="AV219">
        <f t="shared" si="246"/>
        <v>1.5707963267949</v>
      </c>
      <c r="AW219" t="str">
        <f t="shared" si="222"/>
        <v>1+0,0739668873702219i</v>
      </c>
      <c r="AX219">
        <f t="shared" si="247"/>
        <v>1.00273181879665</v>
      </c>
      <c r="AY219">
        <f t="shared" si="248"/>
        <v>0.0738324350333333</v>
      </c>
      <c r="AZ219" t="str">
        <f t="shared" si="223"/>
        <v>1+3,53624672172103i</v>
      </c>
      <c r="BA219">
        <f t="shared" si="249"/>
        <v>3.67492052660772</v>
      </c>
      <c r="BB219">
        <f t="shared" si="250"/>
        <v>1.29520631889299</v>
      </c>
      <c r="BC219" s="30" t="str">
        <f t="shared" si="251"/>
        <v>-0,649560969737077+0,236683205823168i</v>
      </c>
      <c r="BD219" s="32">
        <f t="shared" si="252"/>
        <v>-3.20618993982762</v>
      </c>
      <c r="BE219" s="31">
        <f t="shared" si="253"/>
        <v>159.97956875266</v>
      </c>
      <c r="BF219" s="30" t="str">
        <f t="shared" si="254"/>
        <v>2,00119807616825+7,44334135127076i</v>
      </c>
      <c r="BG219" s="68">
        <f t="shared" si="255"/>
        <v>17.7384583991391</v>
      </c>
      <c r="BH219" s="31">
        <f t="shared" si="256"/>
        <v>74.9514555215627</v>
      </c>
      <c r="BI219" s="30" t="str">
        <f t="shared" si="209"/>
        <v>-13,0678268341188+69,0199044678425i</v>
      </c>
      <c r="BJ219" s="68">
        <f t="shared" si="257"/>
        <v>36.9324450084922</v>
      </c>
      <c r="BK219" s="31">
        <f t="shared" si="210"/>
        <v>100.721142959239</v>
      </c>
      <c r="BL219" s="32">
        <f t="shared" si="258"/>
        <v>17.7384583991391</v>
      </c>
      <c r="BM219" s="31">
        <f t="shared" si="259"/>
        <v>74.9514555215627</v>
      </c>
      <c r="BO219">
        <f t="shared" si="260"/>
        <v>0</v>
      </c>
      <c r="BP219">
        <f t="shared" si="261"/>
        <v>0</v>
      </c>
    </row>
    <row r="220" spans="14:68">
      <c r="N220" s="7">
        <v>2</v>
      </c>
      <c r="O220" s="18">
        <f t="shared" ref="O220:O283" si="262">10^(3+(N220/100))</f>
        <v>1047.1285480509</v>
      </c>
      <c r="P220" s="86" t="str">
        <f t="shared" si="212"/>
        <v>96,0576923076923</v>
      </c>
      <c r="Q220" s="4" t="str">
        <f t="shared" si="213"/>
        <v>1+8,78235691455209i</v>
      </c>
      <c r="R220" s="4">
        <f t="shared" si="224"/>
        <v>8.83910589225974</v>
      </c>
      <c r="S220" s="4">
        <f t="shared" si="225"/>
        <v>1.45741997452606</v>
      </c>
      <c r="T220" s="4" t="str">
        <f t="shared" si="214"/>
        <v>1+0,103163466458958i</v>
      </c>
      <c r="U220" s="4">
        <f t="shared" si="226"/>
        <v>1.00530726686513</v>
      </c>
      <c r="V220" s="4">
        <f t="shared" si="227"/>
        <v>0.102799806541191</v>
      </c>
      <c r="W220" t="str">
        <f t="shared" si="215"/>
        <v>1-0,0489792534917106i</v>
      </c>
      <c r="X220" s="4">
        <f t="shared" si="228"/>
        <v>1.0011987651174</v>
      </c>
      <c r="Y220" s="4">
        <f t="shared" si="229"/>
        <v>-0.0489401432287854</v>
      </c>
      <c r="Z220" t="str">
        <f t="shared" si="216"/>
        <v>0,999991049157583+0,0839597584358905i</v>
      </c>
      <c r="AA220" s="4">
        <f t="shared" si="230"/>
        <v>1.00350951138088</v>
      </c>
      <c r="AB220" s="4">
        <f t="shared" si="231"/>
        <v>0.0837640507447986</v>
      </c>
      <c r="AC220" s="67" t="str">
        <f t="shared" si="232"/>
        <v>0,908777646366668-10,8619224445352i</v>
      </c>
      <c r="AD220" s="68">
        <f t="shared" si="233"/>
        <v>20.7484289232766</v>
      </c>
      <c r="AE220" s="31">
        <f t="shared" si="234"/>
        <v>-85.2174087072077</v>
      </c>
      <c r="AF220" s="32" t="str">
        <f t="shared" si="235"/>
        <v>236,914774604583</v>
      </c>
      <c r="AG220" s="32" t="str">
        <f t="shared" si="217"/>
        <v>1+2,16877741987582i</v>
      </c>
      <c r="AH220" s="32">
        <f t="shared" si="236"/>
        <v>2.38822015253268</v>
      </c>
      <c r="AI220" s="32">
        <f t="shared" si="237"/>
        <v>1.13875892261252</v>
      </c>
      <c r="AJ220" s="32" t="str">
        <f t="shared" si="218"/>
        <v>1+0,103163466458958i</v>
      </c>
      <c r="AK220" s="32">
        <f t="shared" si="238"/>
        <v>1.00530726686513</v>
      </c>
      <c r="AL220" s="32">
        <f t="shared" si="239"/>
        <v>0.102799806541191</v>
      </c>
      <c r="AM220" s="32" t="str">
        <f t="shared" si="219"/>
        <v>1-0,00490392269976085i</v>
      </c>
      <c r="AN220" s="32">
        <f t="shared" si="240"/>
        <v>1.00001202415663</v>
      </c>
      <c r="AO220" s="32">
        <f t="shared" si="241"/>
        <v>-0.00490388338973528</v>
      </c>
      <c r="AP220" s="30" t="str">
        <f t="shared" si="242"/>
        <v>50,4106399902966-86,0503200699849i</v>
      </c>
      <c r="AQ220" s="32">
        <f t="shared" si="243"/>
        <v>39.9764366079217</v>
      </c>
      <c r="AR220" s="31">
        <f t="shared" si="244"/>
        <v>-59.6370569204465</v>
      </c>
      <c r="AS220" t="str">
        <f t="shared" si="220"/>
        <v>-0,000272527472527473</v>
      </c>
      <c r="AT220" t="str">
        <f t="shared" si="221"/>
        <v>0,00147836931845203i</v>
      </c>
      <c r="AU220">
        <f t="shared" si="245"/>
        <v>0.00147836931845203</v>
      </c>
      <c r="AV220">
        <f t="shared" si="246"/>
        <v>1.5707963267949</v>
      </c>
      <c r="AW220" t="str">
        <f t="shared" si="222"/>
        <v>1+0,0756897975067683i</v>
      </c>
      <c r="AX220">
        <f t="shared" si="247"/>
        <v>1.0028603818312</v>
      </c>
      <c r="AY220">
        <f t="shared" si="248"/>
        <v>0.0755457514159188</v>
      </c>
      <c r="AZ220" t="str">
        <f t="shared" si="223"/>
        <v>1+3,61861648931294i</v>
      </c>
      <c r="BA220">
        <f t="shared" si="249"/>
        <v>3.75424896573569</v>
      </c>
      <c r="BB220">
        <f t="shared" si="250"/>
        <v>1.30117666350189</v>
      </c>
      <c r="BC220" s="30" t="str">
        <f t="shared" si="251"/>
        <v>-0,649394437729037+0,233495829262905i</v>
      </c>
      <c r="BD220" s="32">
        <f t="shared" si="252"/>
        <v>-3.22180114506647</v>
      </c>
      <c r="BE220" s="31">
        <f t="shared" si="253"/>
        <v>160.223478503296</v>
      </c>
      <c r="BF220" s="30" t="str">
        <f t="shared" si="254"/>
        <v>1,94605843989311+7,26586780867932i</v>
      </c>
      <c r="BG220" s="68">
        <f t="shared" si="255"/>
        <v>17.5266277782101</v>
      </c>
      <c r="BH220" s="31">
        <f t="shared" si="256"/>
        <v>75.0060697960883</v>
      </c>
      <c r="BI220" s="30" t="str">
        <f t="shared" si="209"/>
        <v>-12,64399836898+67,6512734064596i</v>
      </c>
      <c r="BJ220" s="68">
        <f t="shared" si="257"/>
        <v>36.7546354628553</v>
      </c>
      <c r="BK220" s="31">
        <f t="shared" si="210"/>
        <v>100.586421582849</v>
      </c>
      <c r="BL220" s="32">
        <f t="shared" si="258"/>
        <v>17.5266277782101</v>
      </c>
      <c r="BM220" s="31">
        <f t="shared" si="259"/>
        <v>75.0060697960883</v>
      </c>
      <c r="BO220">
        <f t="shared" si="260"/>
        <v>0</v>
      </c>
      <c r="BP220">
        <f t="shared" si="261"/>
        <v>0</v>
      </c>
    </row>
    <row r="221" spans="14:68">
      <c r="N221" s="7">
        <v>3</v>
      </c>
      <c r="O221" s="18">
        <f t="shared" si="262"/>
        <v>1071.51930523761</v>
      </c>
      <c r="P221" s="86" t="str">
        <f t="shared" si="212"/>
        <v>96,0576923076923</v>
      </c>
      <c r="Q221" s="4" t="str">
        <f t="shared" si="213"/>
        <v>1+8,98692428636961i</v>
      </c>
      <c r="R221" s="4">
        <f t="shared" si="224"/>
        <v>9.04238951433413</v>
      </c>
      <c r="S221" s="4">
        <f t="shared" si="225"/>
        <v>1.45997941652394</v>
      </c>
      <c r="T221" s="4" t="str">
        <f t="shared" si="214"/>
        <v>1+0,105566452286843i</v>
      </c>
      <c r="U221" s="4">
        <f t="shared" si="226"/>
        <v>1.00555669946972</v>
      </c>
      <c r="V221" s="4">
        <f t="shared" si="227"/>
        <v>0.105176899867654</v>
      </c>
      <c r="W221" t="str">
        <f t="shared" si="215"/>
        <v>1-0,0501201268652102i</v>
      </c>
      <c r="X221" s="4">
        <f t="shared" si="228"/>
        <v>1.00125522576263</v>
      </c>
      <c r="Y221" s="4">
        <f t="shared" si="229"/>
        <v>-0.0500782223004123</v>
      </c>
      <c r="Z221" t="str">
        <f t="shared" si="216"/>
        <v>0,999990627317376+0,0859154324410319i</v>
      </c>
      <c r="AA221" s="4">
        <f t="shared" si="230"/>
        <v>1.00367460675965</v>
      </c>
      <c r="AB221" s="4">
        <f t="shared" si="231"/>
        <v>0.0857057693153738</v>
      </c>
      <c r="AC221" s="67" t="str">
        <f t="shared" si="232"/>
        <v>0,853825486518085-10,6220616738526i</v>
      </c>
      <c r="AD221" s="68">
        <f t="shared" si="233"/>
        <v>20.5521472203265</v>
      </c>
      <c r="AE221" s="31">
        <f t="shared" si="234"/>
        <v>-85.4043159231316</v>
      </c>
      <c r="AF221" s="32" t="str">
        <f t="shared" si="235"/>
        <v>236,914774604583</v>
      </c>
      <c r="AG221" s="32" t="str">
        <f t="shared" si="217"/>
        <v>1+2,21929473557567i</v>
      </c>
      <c r="AH221" s="32">
        <f t="shared" si="236"/>
        <v>2.43418756946828</v>
      </c>
      <c r="AI221" s="32">
        <f t="shared" si="237"/>
        <v>1.14744887371402</v>
      </c>
      <c r="AJ221" s="32" t="str">
        <f t="shared" si="218"/>
        <v>1+0,105566452286843i</v>
      </c>
      <c r="AK221" s="32">
        <f t="shared" si="238"/>
        <v>1.00555669946972</v>
      </c>
      <c r="AL221" s="32">
        <f t="shared" si="239"/>
        <v>0.105176899867654</v>
      </c>
      <c r="AM221" s="32" t="str">
        <f t="shared" si="219"/>
        <v>1-0,00501814973335181i</v>
      </c>
      <c r="AN221" s="32">
        <f t="shared" si="240"/>
        <v>1.00001259083411</v>
      </c>
      <c r="AO221" s="32">
        <f t="shared" si="241"/>
        <v>-0.00501810761192917</v>
      </c>
      <c r="AP221" s="30" t="str">
        <f t="shared" si="242"/>
        <v>48,927218919139-84,7625409372698i</v>
      </c>
      <c r="AQ221" s="32">
        <f t="shared" si="243"/>
        <v>39.8130027375122</v>
      </c>
      <c r="AR221" s="31">
        <f t="shared" si="244"/>
        <v>-60.0053015934725</v>
      </c>
      <c r="AS221" t="str">
        <f t="shared" si="220"/>
        <v>-0,000272527472527473</v>
      </c>
      <c r="AT221" t="str">
        <f t="shared" si="221"/>
        <v>0,00151280496357484i</v>
      </c>
      <c r="AU221">
        <f t="shared" si="245"/>
        <v>0.00151280496357484</v>
      </c>
      <c r="AV221">
        <f t="shared" si="246"/>
        <v>1.5707963267949</v>
      </c>
      <c r="AW221" t="str">
        <f t="shared" si="222"/>
        <v>1+0,0774528393758255i</v>
      </c>
      <c r="AX221">
        <f t="shared" si="247"/>
        <v>1.00299498619254</v>
      </c>
      <c r="AY221">
        <f t="shared" si="248"/>
        <v>0.0772985160898911</v>
      </c>
      <c r="AZ221" t="str">
        <f t="shared" si="223"/>
        <v>1+3,70290489526552i</v>
      </c>
      <c r="BA221">
        <f t="shared" si="249"/>
        <v>3.83555793377982</v>
      </c>
      <c r="BB221">
        <f t="shared" si="250"/>
        <v>1.30703020503309</v>
      </c>
      <c r="BC221" s="30" t="str">
        <f t="shared" si="251"/>
        <v>-0,649220148805665+0,230431073964296i</v>
      </c>
      <c r="BD221" s="32">
        <f t="shared" si="252"/>
        <v>-3.2368573488873</v>
      </c>
      <c r="BE221" s="31">
        <f t="shared" si="253"/>
        <v>160.45843570994</v>
      </c>
      <c r="BF221" s="30" t="str">
        <f t="shared" si="254"/>
        <v>1,8933323698095+7,09280438435799i</v>
      </c>
      <c r="BG221" s="68">
        <f t="shared" si="255"/>
        <v>17.3152898714392</v>
      </c>
      <c r="BH221" s="31">
        <f t="shared" si="256"/>
        <v>75.0541197868082</v>
      </c>
      <c r="BI221" s="30" t="str">
        <f t="shared" si="209"/>
        <v>-12,2326130072131+66,303901042064i</v>
      </c>
      <c r="BJ221" s="68">
        <f t="shared" si="257"/>
        <v>36.5761453886248</v>
      </c>
      <c r="BK221" s="31">
        <f t="shared" si="210"/>
        <v>100.453134116467</v>
      </c>
      <c r="BL221" s="32">
        <f t="shared" si="258"/>
        <v>17.3152898714392</v>
      </c>
      <c r="BM221" s="31">
        <f t="shared" si="259"/>
        <v>75.0541197868082</v>
      </c>
      <c r="BO221">
        <f t="shared" si="260"/>
        <v>0</v>
      </c>
      <c r="BP221">
        <f t="shared" si="261"/>
        <v>0</v>
      </c>
    </row>
    <row r="222" spans="14:68">
      <c r="N222" s="7">
        <v>4</v>
      </c>
      <c r="O222" s="18">
        <f t="shared" si="262"/>
        <v>1096.47819614319</v>
      </c>
      <c r="P222" s="86" t="str">
        <f t="shared" si="212"/>
        <v>96,0576923076923</v>
      </c>
      <c r="Q222" s="4" t="str">
        <f t="shared" si="213"/>
        <v>1+9,19625664439975i</v>
      </c>
      <c r="R222" s="4">
        <f t="shared" si="224"/>
        <v>9.2504668136082</v>
      </c>
      <c r="S222" s="4">
        <f t="shared" si="225"/>
        <v>1.4624820079856</v>
      </c>
      <c r="T222" s="4" t="str">
        <f t="shared" si="214"/>
        <v>1+0,108025410845067i</v>
      </c>
      <c r="U222" s="4">
        <f t="shared" si="226"/>
        <v>1.00581782117253</v>
      </c>
      <c r="V222" s="4">
        <f t="shared" si="227"/>
        <v>0.107608128195048</v>
      </c>
      <c r="W222" t="str">
        <f t="shared" si="215"/>
        <v>1-0,0512875745933921i</v>
      </c>
      <c r="X222" s="4">
        <f t="shared" si="228"/>
        <v>1.00131434390389</v>
      </c>
      <c r="Y222" s="4">
        <f t="shared" si="229"/>
        <v>-0.0512426762258293</v>
      </c>
      <c r="Z222" t="str">
        <f t="shared" si="216"/>
        <v>0,999990185596452+0,0879166599456786i</v>
      </c>
      <c r="AA222" s="4">
        <f t="shared" si="230"/>
        <v>1.00384745374247</v>
      </c>
      <c r="AB222" s="4">
        <f t="shared" si="231"/>
        <v>0.0876920483369682</v>
      </c>
      <c r="AC222" s="67" t="str">
        <f t="shared" si="232"/>
        <v>0,801277430373631-10,3872889440787i</v>
      </c>
      <c r="AD222" s="68">
        <f t="shared" si="233"/>
        <v>20.3558108296386</v>
      </c>
      <c r="AE222" s="31">
        <f t="shared" si="234"/>
        <v>-85.5889284297745</v>
      </c>
      <c r="AF222" s="32" t="str">
        <f t="shared" si="235"/>
        <v>236,914774604583</v>
      </c>
      <c r="AG222" s="32" t="str">
        <f t="shared" si="217"/>
        <v>1+2,27098875072015i</v>
      </c>
      <c r="AH222" s="32">
        <f t="shared" si="236"/>
        <v>2.48140885504535</v>
      </c>
      <c r="AI222" s="32">
        <f t="shared" si="237"/>
        <v>1.15600728591096</v>
      </c>
      <c r="AJ222" s="32" t="str">
        <f t="shared" si="218"/>
        <v>1+0,108025410845067i</v>
      </c>
      <c r="AK222" s="32">
        <f t="shared" si="238"/>
        <v>1.00581782117253</v>
      </c>
      <c r="AL222" s="32">
        <f t="shared" si="239"/>
        <v>0.107608128195048</v>
      </c>
      <c r="AM222" s="32" t="str">
        <f t="shared" si="219"/>
        <v>1-0,00513503745635445i</v>
      </c>
      <c r="AN222" s="32">
        <f t="shared" si="240"/>
        <v>1.00001318421793</v>
      </c>
      <c r="AO222" s="32">
        <f t="shared" si="241"/>
        <v>-0.00513499232246906</v>
      </c>
      <c r="AP222" s="30" t="str">
        <f t="shared" si="242"/>
        <v>47,4883656572064-83,4692945772326i</v>
      </c>
      <c r="AQ222" s="32">
        <f t="shared" si="243"/>
        <v>39.6483773917797</v>
      </c>
      <c r="AR222" s="31">
        <f t="shared" si="244"/>
        <v>-60.3630603701016</v>
      </c>
      <c r="AS222" t="str">
        <f t="shared" si="220"/>
        <v>-0,000272527472527473</v>
      </c>
      <c r="AT222" t="str">
        <f t="shared" si="221"/>
        <v>0,00154804271791368i</v>
      </c>
      <c r="AU222">
        <f t="shared" si="245"/>
        <v>0.00154804271791368</v>
      </c>
      <c r="AV222">
        <f t="shared" si="246"/>
        <v>1.5707963267949</v>
      </c>
      <c r="AW222" t="str">
        <f t="shared" si="222"/>
        <v>1+0,0792569477655292i</v>
      </c>
      <c r="AX222">
        <f t="shared" si="247"/>
        <v>1.00313591490341</v>
      </c>
      <c r="AY222">
        <f t="shared" si="248"/>
        <v>0.07909161529167</v>
      </c>
      <c r="AZ222" t="str">
        <f t="shared" si="223"/>
        <v>1+3,78915663040731i</v>
      </c>
      <c r="BA222">
        <f t="shared" si="249"/>
        <v>3.91889116584777</v>
      </c>
      <c r="BB222">
        <f t="shared" si="250"/>
        <v>1.31276844194151</v>
      </c>
      <c r="BC222" s="30" t="str">
        <f t="shared" si="251"/>
        <v>-0,649037746141401+0,227487231486102i</v>
      </c>
      <c r="BD222" s="32">
        <f t="shared" si="252"/>
        <v>-3.2513845856785</v>
      </c>
      <c r="BE222" s="31">
        <f t="shared" si="253"/>
        <v>160.684475450128</v>
      </c>
      <c r="BF222" s="30" t="str">
        <f t="shared" si="254"/>
        <v>1,84291630709098+6,92402298907233i</v>
      </c>
      <c r="BG222" s="68">
        <f t="shared" si="255"/>
        <v>17.1044262439601</v>
      </c>
      <c r="BH222" s="31">
        <f t="shared" si="256"/>
        <v>75.0955470203536</v>
      </c>
      <c r="BI222" s="30" t="str">
        <f t="shared" si="209"/>
        <v>-11,8335430766194+64,9777196555773i</v>
      </c>
      <c r="BJ222" s="68">
        <f t="shared" si="257"/>
        <v>36.3969928061012</v>
      </c>
      <c r="BK222" s="31">
        <f t="shared" si="210"/>
        <v>100.321415080026</v>
      </c>
      <c r="BL222" s="32">
        <f t="shared" si="258"/>
        <v>17.1044262439601</v>
      </c>
      <c r="BM222" s="31">
        <f t="shared" si="259"/>
        <v>75.0955470203536</v>
      </c>
      <c r="BO222">
        <f t="shared" si="260"/>
        <v>0</v>
      </c>
      <c r="BP222">
        <f t="shared" si="261"/>
        <v>0</v>
      </c>
    </row>
    <row r="223" spans="14:68">
      <c r="N223" s="7">
        <v>5</v>
      </c>
      <c r="O223" s="18">
        <f t="shared" si="262"/>
        <v>1122.01845430196</v>
      </c>
      <c r="P223" s="86" t="str">
        <f t="shared" si="212"/>
        <v>96,0576923076923</v>
      </c>
      <c r="Q223" s="4" t="str">
        <f t="shared" si="213"/>
        <v>1+9,41046497942951i</v>
      </c>
      <c r="R223" s="4">
        <f t="shared" si="224"/>
        <v>9.46344816275068</v>
      </c>
      <c r="S223" s="4">
        <f t="shared" si="225"/>
        <v>1.46492895036093</v>
      </c>
      <c r="T223" s="4" t="str">
        <f t="shared" si="214"/>
        <v>1+0,110541645906005i</v>
      </c>
      <c r="U223" s="4">
        <f t="shared" si="226"/>
        <v>1.00609117652408</v>
      </c>
      <c r="V223" s="4">
        <f t="shared" si="227"/>
        <v>0.110094665564745</v>
      </c>
      <c r="W223" t="str">
        <f t="shared" si="215"/>
        <v>1-0,0524822156724941i</v>
      </c>
      <c r="X223" s="4">
        <f t="shared" si="228"/>
        <v>1.00137624445655</v>
      </c>
      <c r="Y223" s="4">
        <f t="shared" si="229"/>
        <v>-0.0524341097751914</v>
      </c>
      <c r="Z223" t="str">
        <f t="shared" si="216"/>
        <v>0,999989723057863+0,0899645020271422i</v>
      </c>
      <c r="AA223" s="4">
        <f t="shared" si="230"/>
        <v>1.00402841486002</v>
      </c>
      <c r="AB223" s="4">
        <f t="shared" si="231"/>
        <v>0.0897238784751647</v>
      </c>
      <c r="AC223" s="67" t="str">
        <f t="shared" si="232"/>
        <v>0,751029916868722-10,1575151196798i</v>
      </c>
      <c r="AD223" s="68">
        <f t="shared" si="233"/>
        <v>20.1594272433649</v>
      </c>
      <c r="AE223" s="31">
        <f t="shared" si="234"/>
        <v>-85.7713392092628</v>
      </c>
      <c r="AF223" s="32" t="str">
        <f t="shared" si="235"/>
        <v>236,914774604583</v>
      </c>
      <c r="AG223" s="32" t="str">
        <f t="shared" si="217"/>
        <v>1+2,32388687416034i</v>
      </c>
      <c r="AH223" s="32">
        <f t="shared" si="236"/>
        <v>2.52991110592738</v>
      </c>
      <c r="AI223" s="32">
        <f t="shared" si="237"/>
        <v>1.16443368095886</v>
      </c>
      <c r="AJ223" s="32" t="str">
        <f t="shared" si="218"/>
        <v>1+0,110541645906005i</v>
      </c>
      <c r="AK223" s="32">
        <f t="shared" si="238"/>
        <v>1.00609117652408</v>
      </c>
      <c r="AL223" s="32">
        <f t="shared" si="239"/>
        <v>0.110094665564745</v>
      </c>
      <c r="AM223" s="32" t="str">
        <f t="shared" si="219"/>
        <v>1-0,00525464784418665i</v>
      </c>
      <c r="AN223" s="32">
        <f t="shared" si="240"/>
        <v>1.00001380556669</v>
      </c>
      <c r="AO223" s="32">
        <f t="shared" si="241"/>
        <v>-0.0052545994823932</v>
      </c>
      <c r="AP223" s="30" t="str">
        <f t="shared" si="242"/>
        <v>46,0935588339689-82,1721709429887i</v>
      </c>
      <c r="AQ223" s="32">
        <f t="shared" si="243"/>
        <v>39.4826043920293</v>
      </c>
      <c r="AR223" s="31">
        <f t="shared" si="244"/>
        <v>-60.7102421314341</v>
      </c>
      <c r="AS223" t="str">
        <f t="shared" si="220"/>
        <v>-0,000272527472527473</v>
      </c>
      <c r="AT223" t="str">
        <f t="shared" si="221"/>
        <v>0,00158410126499231i</v>
      </c>
      <c r="AU223">
        <f t="shared" si="245"/>
        <v>0.00158410126499231</v>
      </c>
      <c r="AV223">
        <f t="shared" si="246"/>
        <v>1.5707963267949</v>
      </c>
      <c r="AW223" t="str">
        <f t="shared" si="222"/>
        <v>1+0,0811030792380271i</v>
      </c>
      <c r="AX223">
        <f t="shared" si="247"/>
        <v>1.00328346416249</v>
      </c>
      <c r="AY223">
        <f t="shared" si="248"/>
        <v>0.0809259535989826</v>
      </c>
      <c r="AZ223" t="str">
        <f t="shared" si="223"/>
        <v>1+3,87741742654993i</v>
      </c>
      <c r="BA223">
        <f t="shared" si="249"/>
        <v>4.00429343326798</v>
      </c>
      <c r="BB223">
        <f t="shared" si="250"/>
        <v>1.31839290453689</v>
      </c>
      <c r="BC223" s="30" t="str">
        <f t="shared" si="251"/>
        <v>-0,648846856926+0,224662651650287i</v>
      </c>
      <c r="BD223" s="32">
        <f t="shared" si="252"/>
        <v>-3.26540823462403</v>
      </c>
      <c r="BE223" s="31">
        <f t="shared" si="253"/>
        <v>160.901633575664</v>
      </c>
      <c r="BF223" s="30" t="str">
        <f t="shared" si="254"/>
        <v>1,79471087994748+6,75940013217498i</v>
      </c>
      <c r="BG223" s="68">
        <f t="shared" si="255"/>
        <v>16.8940190087409</v>
      </c>
      <c r="BH223" s="31">
        <f t="shared" si="256"/>
        <v>75.1302943664016</v>
      </c>
      <c r="BI223" s="30" t="str">
        <f t="shared" si="209"/>
        <v>-11,4466429580419+63,6726559947822i</v>
      </c>
      <c r="BJ223" s="68">
        <f t="shared" si="257"/>
        <v>36.2171961574053</v>
      </c>
      <c r="BK223" s="31">
        <f t="shared" si="210"/>
        <v>100.19139144423</v>
      </c>
      <c r="BL223" s="32">
        <f t="shared" si="258"/>
        <v>16.8940190087409</v>
      </c>
      <c r="BM223" s="31">
        <f t="shared" si="259"/>
        <v>75.1302943664016</v>
      </c>
      <c r="BO223">
        <f t="shared" si="260"/>
        <v>0</v>
      </c>
      <c r="BP223">
        <f t="shared" si="261"/>
        <v>0</v>
      </c>
    </row>
    <row r="224" spans="14:68">
      <c r="N224" s="7">
        <v>6</v>
      </c>
      <c r="O224" s="18">
        <f t="shared" si="262"/>
        <v>1148.15362149688</v>
      </c>
      <c r="P224" s="86" t="str">
        <f t="shared" si="212"/>
        <v>96,0576923076923</v>
      </c>
      <c r="Q224" s="4" t="str">
        <f t="shared" si="213"/>
        <v>1+9,62966286755368i</v>
      </c>
      <c r="R224" s="4">
        <f t="shared" si="224"/>
        <v>9.68144653152318</v>
      </c>
      <c r="S224" s="4">
        <f t="shared" si="225"/>
        <v>1.4673214237783</v>
      </c>
      <c r="T224" s="4" t="str">
        <f t="shared" si="214"/>
        <v>1+0,113116491610796i</v>
      </c>
      <c r="U224" s="4">
        <f t="shared" si="226"/>
        <v>1.00637733513545</v>
      </c>
      <c r="V224" s="4">
        <f t="shared" si="227"/>
        <v>0.112637707313463</v>
      </c>
      <c r="W224" t="str">
        <f t="shared" si="215"/>
        <v>1-0,0537046835170305i</v>
      </c>
      <c r="X224" s="4">
        <f t="shared" si="228"/>
        <v>1.00144105819148</v>
      </c>
      <c r="Y224" s="4">
        <f t="shared" si="229"/>
        <v>-0.0536531411246094</v>
      </c>
      <c r="Z224" t="str">
        <f t="shared" si="216"/>
        <v>0,999989238720502+0,0920600444784025i</v>
      </c>
      <c r="AA224" s="4">
        <f t="shared" si="230"/>
        <v>1.00421786946169</v>
      </c>
      <c r="AB224" s="4">
        <f t="shared" si="231"/>
        <v>0.0918022701492218</v>
      </c>
      <c r="AC224" s="67" t="str">
        <f t="shared" si="232"/>
        <v>0,702983587074362-9,93265143758521i</v>
      </c>
      <c r="AD224" s="68">
        <f t="shared" si="233"/>
        <v>19.9630038599094</v>
      </c>
      <c r="AE224" s="31">
        <f t="shared" si="234"/>
        <v>-85.9516407018622</v>
      </c>
      <c r="AF224" s="32" t="str">
        <f t="shared" si="235"/>
        <v>236,914774604583</v>
      </c>
      <c r="AG224" s="32" t="str">
        <f t="shared" si="217"/>
        <v>1+2,3780171531815i</v>
      </c>
      <c r="AH224" s="32">
        <f t="shared" si="236"/>
        <v>2.57972199681001</v>
      </c>
      <c r="AI224" s="32">
        <f t="shared" si="237"/>
        <v>1.17272773912324</v>
      </c>
      <c r="AJ224" s="32" t="str">
        <f t="shared" si="218"/>
        <v>1+0,113116491610796i</v>
      </c>
      <c r="AK224" s="32">
        <f t="shared" si="238"/>
        <v>1.00637733513545</v>
      </c>
      <c r="AL224" s="32">
        <f t="shared" si="239"/>
        <v>0.112637707313463</v>
      </c>
      <c r="AM224" s="32" t="str">
        <f t="shared" si="219"/>
        <v>1-0,00537704431585938i</v>
      </c>
      <c r="AN224" s="32">
        <f t="shared" si="240"/>
        <v>1.0000144561983</v>
      </c>
      <c r="AO224" s="32">
        <f t="shared" si="241"/>
        <v>-0.00537699249530452</v>
      </c>
      <c r="AP224" s="30" t="str">
        <f t="shared" si="242"/>
        <v>44,7422179851916-80,8726949682692i</v>
      </c>
      <c r="AQ224" s="32">
        <f t="shared" si="243"/>
        <v>39.3157272800035</v>
      </c>
      <c r="AR224" s="31">
        <f t="shared" si="244"/>
        <v>-61.046763703044</v>
      </c>
      <c r="AS224" t="str">
        <f t="shared" si="220"/>
        <v>-0,000272527472527473</v>
      </c>
      <c r="AT224" t="str">
        <f t="shared" si="221"/>
        <v>0,00162099972352971i</v>
      </c>
      <c r="AU224">
        <f t="shared" si="245"/>
        <v>0.00162099972352971</v>
      </c>
      <c r="AV224">
        <f t="shared" si="246"/>
        <v>1.5707963267949</v>
      </c>
      <c r="AW224" t="str">
        <f t="shared" si="222"/>
        <v>1+0,082992212636664i</v>
      </c>
      <c r="AX224">
        <f t="shared" si="247"/>
        <v>1.00343794394986</v>
      </c>
      <c r="AY224">
        <f t="shared" si="248"/>
        <v>0.0828024541973368</v>
      </c>
      <c r="AZ224" t="str">
        <f t="shared" si="223"/>
        <v>1+3,96773408073582i</v>
      </c>
      <c r="BA224">
        <f t="shared" si="249"/>
        <v>4.09181056934855</v>
      </c>
      <c r="BB224">
        <f t="shared" si="250"/>
        <v>1.32390515097124</v>
      </c>
      <c r="BC224" s="30" t="str">
        <f t="shared" si="251"/>
        <v>-0,648647091689731+0,221955741263746i</v>
      </c>
      <c r="BD224" s="32">
        <f t="shared" si="252"/>
        <v>-3.27895303701052</v>
      </c>
      <c r="BE224" s="31">
        <f t="shared" si="253"/>
        <v>161.109946467449</v>
      </c>
      <c r="BF224" s="30" t="str">
        <f t="shared" si="254"/>
        <v>1,74862075328224+6,59881671092281i</v>
      </c>
      <c r="BG224" s="68">
        <f t="shared" si="255"/>
        <v>16.6840508228989</v>
      </c>
      <c r="BH224" s="31">
        <f t="shared" si="256"/>
        <v>75.1583057655871</v>
      </c>
      <c r="BI224" s="30" t="str">
        <f t="shared" si="209"/>
        <v>-11,0717506121635+62,3886305469659i</v>
      </c>
      <c r="BJ224" s="68">
        <f t="shared" si="257"/>
        <v>36.036774242993</v>
      </c>
      <c r="BK224" s="31">
        <f t="shared" si="210"/>
        <v>100.063182764405</v>
      </c>
      <c r="BL224" s="32">
        <f t="shared" si="258"/>
        <v>16.6840508228989</v>
      </c>
      <c r="BM224" s="31">
        <f t="shared" si="259"/>
        <v>75.1583057655871</v>
      </c>
      <c r="BO224">
        <f t="shared" si="260"/>
        <v>0</v>
      </c>
      <c r="BP224">
        <f t="shared" si="261"/>
        <v>0</v>
      </c>
    </row>
    <row r="225" spans="14:68">
      <c r="N225" s="7">
        <v>7</v>
      </c>
      <c r="O225" s="18">
        <f t="shared" si="262"/>
        <v>1174.89755493953</v>
      </c>
      <c r="P225" s="86" t="str">
        <f t="shared" si="212"/>
        <v>96,0576923076923</v>
      </c>
      <c r="Q225" s="4" t="str">
        <f t="shared" si="213"/>
        <v>1+9,8539665303939i</v>
      </c>
      <c r="R225" s="4">
        <f t="shared" si="224"/>
        <v>9.90457754687817</v>
      </c>
      <c r="S225" s="4">
        <f t="shared" si="225"/>
        <v>1.46966058714417</v>
      </c>
      <c r="T225" s="4" t="str">
        <f t="shared" si="214"/>
        <v>1+0,115751313176713i</v>
      </c>
      <c r="U225" s="4">
        <f t="shared" si="226"/>
        <v>1.00667689280232</v>
      </c>
      <c r="V225" s="4">
        <f t="shared" si="227"/>
        <v>0.11523847015621</v>
      </c>
      <c r="W225" t="str">
        <f t="shared" si="215"/>
        <v>1-0,0549556262956332i</v>
      </c>
      <c r="X225" s="4">
        <f t="shared" si="228"/>
        <v>1.00150892200796</v>
      </c>
      <c r="Y225" s="4">
        <f t="shared" si="229"/>
        <v>-0.0549004021202122</v>
      </c>
      <c r="Z225" t="str">
        <f t="shared" si="216"/>
        <v>0,999988731557024+0,0942043983838041i</v>
      </c>
      <c r="AA225" s="4">
        <f t="shared" si="230"/>
        <v>1.00441621448276</v>
      </c>
      <c r="AB225" s="4">
        <f t="shared" si="231"/>
        <v>0.0939282537617801</v>
      </c>
      <c r="AC225" s="67" t="str">
        <f t="shared" si="232"/>
        <v>0,657043131288278-9,7126096020829i</v>
      </c>
      <c r="AD225" s="68">
        <f t="shared" si="233"/>
        <v>19.7665479974031</v>
      </c>
      <c r="AE225" s="31">
        <f t="shared" si="234"/>
        <v>-86.1299248352275</v>
      </c>
      <c r="AF225" s="32" t="str">
        <f t="shared" si="235"/>
        <v>236,914774604583</v>
      </c>
      <c r="AG225" s="32" t="str">
        <f t="shared" si="217"/>
        <v>1+2,43340828837407i</v>
      </c>
      <c r="AH225" s="32">
        <f t="shared" si="236"/>
        <v>2.63086979874102</v>
      </c>
      <c r="AI225" s="32">
        <f t="shared" si="237"/>
        <v>1.18088929249303</v>
      </c>
      <c r="AJ225" s="32" t="str">
        <f t="shared" si="218"/>
        <v>1+0,115751313176713i</v>
      </c>
      <c r="AK225" s="32">
        <f t="shared" si="238"/>
        <v>1.00667689280232</v>
      </c>
      <c r="AL225" s="32">
        <f t="shared" si="239"/>
        <v>0.11523847015621</v>
      </c>
      <c r="AM225" s="32" t="str">
        <f t="shared" si="219"/>
        <v>1-0,00550229176760198i</v>
      </c>
      <c r="AN225" s="32">
        <f t="shared" si="240"/>
        <v>1.00001513749278</v>
      </c>
      <c r="AO225" s="32">
        <f t="shared" si="241"/>
        <v>-0.00550223624092243</v>
      </c>
      <c r="AP225" s="30" t="str">
        <f t="shared" si="242"/>
        <v>43,4337089760923-79,5723253597347i</v>
      </c>
      <c r="AQ225" s="32">
        <f t="shared" si="243"/>
        <v>39.1477892768635</v>
      </c>
      <c r="AR225" s="31">
        <f t="shared" si="244"/>
        <v>-61.3725494690341</v>
      </c>
      <c r="AS225" t="str">
        <f t="shared" si="220"/>
        <v>-0,000272527472527473</v>
      </c>
      <c r="AT225" t="str">
        <f t="shared" si="221"/>
        <v>0,001658757657577i</v>
      </c>
      <c r="AU225">
        <f t="shared" si="245"/>
        <v>0.001658757657577</v>
      </c>
      <c r="AV225">
        <f t="shared" si="246"/>
        <v>1.5707963267949</v>
      </c>
      <c r="AW225" t="str">
        <f t="shared" si="222"/>
        <v>1+0,0849253496049727i</v>
      </c>
      <c r="AX225">
        <f t="shared" si="247"/>
        <v>1.00359967865954</v>
      </c>
      <c r="AY225">
        <f t="shared" si="248"/>
        <v>0.0847220591416609</v>
      </c>
      <c r="AZ225" t="str">
        <f t="shared" si="223"/>
        <v>1+4,0601544800505i</v>
      </c>
      <c r="BA225">
        <f t="shared" si="249"/>
        <v>4.18148949560729</v>
      </c>
      <c r="BB225">
        <f t="shared" si="250"/>
        <v>1.3293067634338</v>
      </c>
      <c r="BC225" s="30" t="str">
        <f t="shared" si="251"/>
        <v>-0,648438043604079+0,219364962843182i</v>
      </c>
      <c r="BD225" s="32">
        <f t="shared" si="252"/>
        <v>-3.29204311470897</v>
      </c>
      <c r="BE225" s="31">
        <f t="shared" si="253"/>
        <v>161.309450802477</v>
      </c>
      <c r="BF225" s="30" t="str">
        <f t="shared" si="254"/>
        <v>1,70455448185518+6,44215781074625i</v>
      </c>
      <c r="BG225" s="68">
        <f t="shared" si="255"/>
        <v>16.4745048826941</v>
      </c>
      <c r="BH225" s="31">
        <f t="shared" si="256"/>
        <v>75.1795259672498</v>
      </c>
      <c r="BI225" s="30" t="str">
        <f t="shared" si="209"/>
        <v>-10,7086890790424+61,1255569369757i</v>
      </c>
      <c r="BJ225" s="68">
        <f t="shared" si="257"/>
        <v>35.8557461621545</v>
      </c>
      <c r="BK225" s="31">
        <f t="shared" si="210"/>
        <v>99.9369013334431</v>
      </c>
      <c r="BL225" s="32">
        <f t="shared" si="258"/>
        <v>16.4745048826941</v>
      </c>
      <c r="BM225" s="31">
        <f t="shared" si="259"/>
        <v>75.1795259672498</v>
      </c>
      <c r="BO225">
        <f t="shared" si="260"/>
        <v>0</v>
      </c>
      <c r="BP225">
        <f t="shared" si="261"/>
        <v>0</v>
      </c>
    </row>
    <row r="226" spans="14:68">
      <c r="N226" s="7">
        <v>8</v>
      </c>
      <c r="O226" s="18">
        <f t="shared" si="262"/>
        <v>1202.26443461741</v>
      </c>
      <c r="P226" s="86" t="str">
        <f t="shared" si="212"/>
        <v>96,0576923076923</v>
      </c>
      <c r="Q226" s="4" t="str">
        <f t="shared" si="213"/>
        <v>1+10,0834948967211i</v>
      </c>
      <c r="R226" s="4">
        <f t="shared" si="224"/>
        <v>10.132959554454</v>
      </c>
      <c r="S226" s="4">
        <f t="shared" si="225"/>
        <v>1.47194757826459</v>
      </c>
      <c r="T226" s="4" t="str">
        <f t="shared" si="214"/>
        <v>1+0,118447507621024i</v>
      </c>
      <c r="U226" s="4">
        <f t="shared" si="226"/>
        <v>1.00699047267669</v>
      </c>
      <c r="V226" s="4">
        <f t="shared" si="227"/>
        <v>0.117898192243983</v>
      </c>
      <c r="W226" t="str">
        <f t="shared" si="215"/>
        <v>1-0,0562357072747212i</v>
      </c>
      <c r="X226" s="4">
        <f t="shared" si="228"/>
        <v>1.00157997921918</v>
      </c>
      <c r="Y226" s="4">
        <f t="shared" si="229"/>
        <v>-0.0561765385449795</v>
      </c>
      <c r="Z226" t="str">
        <f t="shared" si="216"/>
        <v>0,999988200491667+0,0963987007081708i</v>
      </c>
      <c r="AA226" s="4">
        <f t="shared" si="230"/>
        <v>1.00462386524549</v>
      </c>
      <c r="AB226" s="4">
        <f t="shared" si="231"/>
        <v>0.0961028799183069</v>
      </c>
      <c r="AC226" s="67" t="str">
        <f t="shared" si="232"/>
        <v>0,613117139890816-9,4973018714458i</v>
      </c>
      <c r="AD226" s="68">
        <f t="shared" si="233"/>
        <v>19.5700669070426</v>
      </c>
      <c r="AE226" s="31">
        <f t="shared" si="234"/>
        <v>-86.3062830559139</v>
      </c>
      <c r="AF226" s="32" t="str">
        <f t="shared" si="235"/>
        <v>236,914774604583</v>
      </c>
      <c r="AG226" s="32" t="str">
        <f t="shared" si="217"/>
        <v>1+2,49008964885108i</v>
      </c>
      <c r="AH226" s="32">
        <f t="shared" si="236"/>
        <v>2.68338339774906</v>
      </c>
      <c r="AI226" s="32">
        <f t="shared" si="237"/>
        <v>1.18891831819175</v>
      </c>
      <c r="AJ226" s="32" t="str">
        <f t="shared" si="218"/>
        <v>1+0,118447507621024i</v>
      </c>
      <c r="AK226" s="32">
        <f t="shared" si="238"/>
        <v>1.00699047267669</v>
      </c>
      <c r="AL226" s="32">
        <f t="shared" si="239"/>
        <v>0.117898192243983</v>
      </c>
      <c r="AM226" s="32" t="str">
        <f t="shared" si="219"/>
        <v>1-0,00563045660727117i</v>
      </c>
      <c r="AN226" s="32">
        <f t="shared" si="240"/>
        <v>1.00001585089518</v>
      </c>
      <c r="AO226" s="32">
        <f t="shared" si="241"/>
        <v>-0.00563039710941301</v>
      </c>
      <c r="AP226" s="30" t="str">
        <f t="shared" si="242"/>
        <v>42,1673492977078-78,2724537932331i</v>
      </c>
      <c r="AQ226" s="32">
        <f t="shared" si="243"/>
        <v>38.9788332472397</v>
      </c>
      <c r="AR226" s="31">
        <f t="shared" si="244"/>
        <v>-61.6875309817287</v>
      </c>
      <c r="AS226" t="str">
        <f t="shared" si="220"/>
        <v>-0,000272527472527473</v>
      </c>
      <c r="AT226" t="str">
        <f t="shared" si="221"/>
        <v>0,00169739508689057i</v>
      </c>
      <c r="AU226">
        <f t="shared" si="245"/>
        <v>0.00169739508689057</v>
      </c>
      <c r="AV226">
        <f t="shared" si="246"/>
        <v>1.5707963267949</v>
      </c>
      <c r="AW226" t="str">
        <f t="shared" si="222"/>
        <v>1+0,0869035151177614i</v>
      </c>
      <c r="AX226">
        <f t="shared" si="247"/>
        <v>1.00376900776016</v>
      </c>
      <c r="AY226">
        <f t="shared" si="248"/>
        <v>0.0866857296122792</v>
      </c>
      <c r="AZ226" t="str">
        <f t="shared" si="223"/>
        <v>1+4,15472762701297i</v>
      </c>
      <c r="BA226">
        <f t="shared" si="249"/>
        <v>4.27337824848969</v>
      </c>
      <c r="BB226">
        <f t="shared" si="250"/>
        <v>1.33459934454992</v>
      </c>
      <c r="BC226" s="30" t="str">
        <f t="shared" si="251"/>
        <v>-0,648219287757522+0,216888833340716i</v>
      </c>
      <c r="BD226" s="32">
        <f t="shared" si="252"/>
        <v>-3.3047019897094</v>
      </c>
      <c r="BE226" s="31">
        <f t="shared" si="253"/>
        <v>161.500183332841</v>
      </c>
      <c r="BF226" s="30" t="str">
        <f t="shared" si="254"/>
        <v>1,66242436705052+6,28931251589889i</v>
      </c>
      <c r="BG226" s="68">
        <f t="shared" si="255"/>
        <v>16.2653649173332</v>
      </c>
      <c r="BH226" s="31">
        <f t="shared" si="256"/>
        <v>75.1939002769269</v>
      </c>
      <c r="BI226" s="30" t="str">
        <f t="shared" si="209"/>
        <v>-10,3572679424534+59,8833414431334i</v>
      </c>
      <c r="BJ226" s="68">
        <f t="shared" si="257"/>
        <v>35.6741312575303</v>
      </c>
      <c r="BK226" s="31">
        <f t="shared" si="210"/>
        <v>99.8126523511121</v>
      </c>
      <c r="BL226" s="32">
        <f t="shared" si="258"/>
        <v>16.2653649173332</v>
      </c>
      <c r="BM226" s="31">
        <f t="shared" si="259"/>
        <v>75.1939002769269</v>
      </c>
      <c r="BO226">
        <f t="shared" si="260"/>
        <v>0</v>
      </c>
      <c r="BP226">
        <f t="shared" si="261"/>
        <v>0</v>
      </c>
    </row>
    <row r="227" spans="14:68">
      <c r="N227" s="7">
        <v>9</v>
      </c>
      <c r="O227" s="18">
        <f t="shared" si="262"/>
        <v>1230.26877081238</v>
      </c>
      <c r="P227" s="86" t="str">
        <f t="shared" si="212"/>
        <v>96,0576923076923</v>
      </c>
      <c r="Q227" s="4" t="str">
        <f t="shared" si="213"/>
        <v>1+10,3183696655135i</v>
      </c>
      <c r="R227" s="4">
        <f t="shared" si="224"/>
        <v>10.3667136814995</v>
      </c>
      <c r="S227" s="4">
        <f t="shared" si="225"/>
        <v>1.47418351398632</v>
      </c>
      <c r="T227" s="4" t="str">
        <f t="shared" si="214"/>
        <v>1+0,121206504501716i</v>
      </c>
      <c r="U227" s="4">
        <f t="shared" si="226"/>
        <v>1.00731872648806</v>
      </c>
      <c r="V227" s="4">
        <f t="shared" si="227"/>
        <v>0.120618133193917</v>
      </c>
      <c r="W227" t="str">
        <f t="shared" si="215"/>
        <v>1-0,0575456051701741i</v>
      </c>
      <c r="X227" s="4">
        <f t="shared" si="228"/>
        <v>1.00165437985086</v>
      </c>
      <c r="Y227" s="4">
        <f t="shared" si="229"/>
        <v>-0.057482210388168</v>
      </c>
      <c r="Z227" t="str">
        <f t="shared" si="216"/>
        <v>0,999987644397972+0,0986441148996411i</v>
      </c>
      <c r="AA227" s="4">
        <f t="shared" si="230"/>
        <v>1.00484125629521</v>
      </c>
      <c r="AB227" s="4">
        <f t="shared" si="231"/>
        <v>0.0983272196350125</v>
      </c>
      <c r="AC227" s="67" t="str">
        <f t="shared" si="232"/>
        <v>0,5711179580445-9,28664113679885i</v>
      </c>
      <c r="AD227" s="68">
        <f t="shared" si="233"/>
        <v>19.3735677863045</v>
      </c>
      <c r="AE227" s="31">
        <f t="shared" si="234"/>
        <v>-86.4808063630903</v>
      </c>
      <c r="AF227" s="32" t="str">
        <f t="shared" si="235"/>
        <v>236,914774604583</v>
      </c>
      <c r="AG227" s="32" t="str">
        <f t="shared" si="217"/>
        <v>1+2,54809128782016i</v>
      </c>
      <c r="AH227" s="32">
        <f t="shared" si="236"/>
        <v>2.73729231377743</v>
      </c>
      <c r="AI227" s="32">
        <f t="shared" si="237"/>
        <v>1.19681493152623</v>
      </c>
      <c r="AJ227" s="32" t="str">
        <f t="shared" si="218"/>
        <v>1+0,121206504501716i</v>
      </c>
      <c r="AK227" s="32">
        <f t="shared" si="238"/>
        <v>1.00731872648806</v>
      </c>
      <c r="AL227" s="32">
        <f t="shared" si="239"/>
        <v>0.120618133193917</v>
      </c>
      <c r="AM227" s="32" t="str">
        <f t="shared" si="219"/>
        <v>1-0,00576160678956147i</v>
      </c>
      <c r="AN227" s="32">
        <f t="shared" si="240"/>
        <v>1.00001659791865</v>
      </c>
      <c r="AO227" s="32">
        <f t="shared" si="241"/>
        <v>-0.00576154303651498</v>
      </c>
      <c r="AP227" s="30" t="str">
        <f t="shared" si="242"/>
        <v>40,9424132116195-76,9744044861365i</v>
      </c>
      <c r="AQ227" s="32">
        <f t="shared" si="243"/>
        <v>38.8089016682343</v>
      </c>
      <c r="AR227" s="31">
        <f t="shared" si="244"/>
        <v>-61.9916465694086</v>
      </c>
      <c r="AS227" t="str">
        <f t="shared" si="220"/>
        <v>-0,000272527472527473</v>
      </c>
      <c r="AT227" t="str">
        <f t="shared" si="221"/>
        <v>0,00173693249754691i</v>
      </c>
      <c r="AU227">
        <f t="shared" si="245"/>
        <v>0.00173693249754691</v>
      </c>
      <c r="AV227">
        <f t="shared" si="246"/>
        <v>1.5707963267949</v>
      </c>
      <c r="AW227" t="str">
        <f t="shared" si="222"/>
        <v>1+0,08892775802457i</v>
      </c>
      <c r="AX227">
        <f t="shared" si="247"/>
        <v>1.00394628648513</v>
      </c>
      <c r="AY227">
        <f t="shared" si="248"/>
        <v>0.0886944461643029</v>
      </c>
      <c r="AZ227" t="str">
        <f t="shared" si="223"/>
        <v>1+4,25150366555763i</v>
      </c>
      <c r="BA227">
        <f t="shared" si="249"/>
        <v>4.36752600659114</v>
      </c>
      <c r="BB227">
        <f t="shared" si="250"/>
        <v>1.33978451397956</v>
      </c>
      <c r="BC227" s="30" t="str">
        <f t="shared" si="251"/>
        <v>-0,647990380405843+0,214525922867714i</v>
      </c>
      <c r="BD227" s="32">
        <f t="shared" si="252"/>
        <v>-3.31695260459642</v>
      </c>
      <c r="BE227" s="31">
        <f t="shared" si="253"/>
        <v>161.68218067655</v>
      </c>
      <c r="BF227" s="30" t="str">
        <f t="shared" si="254"/>
        <v>1,62214631732319+6,14017372994266i</v>
      </c>
      <c r="BG227" s="68">
        <f t="shared" si="255"/>
        <v>16.0566151817081</v>
      </c>
      <c r="BH227" s="31">
        <f t="shared" si="256"/>
        <v>75.2013743134598</v>
      </c>
      <c r="BI227" s="30" t="str">
        <f t="shared" si="209"/>
        <v>-10,0172847521494+58,6618826231388i</v>
      </c>
      <c r="BJ227" s="68">
        <f t="shared" si="257"/>
        <v>35.4919490636379</v>
      </c>
      <c r="BK227" s="31">
        <f t="shared" si="210"/>
        <v>99.6905341071415</v>
      </c>
      <c r="BL227" s="32">
        <f t="shared" si="258"/>
        <v>16.0566151817081</v>
      </c>
      <c r="BM227" s="31">
        <f t="shared" si="259"/>
        <v>75.2013743134598</v>
      </c>
      <c r="BO227">
        <f t="shared" si="260"/>
        <v>0</v>
      </c>
      <c r="BP227">
        <f t="shared" si="261"/>
        <v>0</v>
      </c>
    </row>
    <row r="228" spans="14:68">
      <c r="N228" s="7">
        <v>10</v>
      </c>
      <c r="O228" s="18">
        <f t="shared" si="262"/>
        <v>1258.92541179417</v>
      </c>
      <c r="P228" s="86" t="str">
        <f t="shared" si="212"/>
        <v>96,0576923076923</v>
      </c>
      <c r="Q228" s="4" t="str">
        <f t="shared" si="213"/>
        <v>1+10,5587153704823i</v>
      </c>
      <c r="R228" s="4">
        <f t="shared" si="224"/>
        <v>10.6059639012614</v>
      </c>
      <c r="S228" s="4">
        <f t="shared" si="225"/>
        <v>1.47636949035611</v>
      </c>
      <c r="T228" s="4" t="str">
        <f t="shared" si="214"/>
        <v>1+0,124029766675452i</v>
      </c>
      <c r="U228" s="4">
        <f t="shared" si="226"/>
        <v>1.00766233581571</v>
      </c>
      <c r="V228" s="4">
        <f t="shared" si="227"/>
        <v>0.123399574089481</v>
      </c>
      <c r="W228" t="str">
        <f t="shared" si="215"/>
        <v>1-0,0588860145071945i</v>
      </c>
      <c r="X228" s="4">
        <f t="shared" si="228"/>
        <v>1.00173228095362</v>
      </c>
      <c r="Y228" s="4">
        <f t="shared" si="229"/>
        <v>-0.0588180921171379</v>
      </c>
      <c r="Z228" t="str">
        <f t="shared" si="216"/>
        <v>0,999987062096388+0,100941831506541i</v>
      </c>
      <c r="AA228" s="4">
        <f t="shared" si="230"/>
        <v>1.00506884227304</v>
      </c>
      <c r="AB228" s="4">
        <f t="shared" si="231"/>
        <v>0.100602364533893</v>
      </c>
      <c r="AC228" s="67" t="str">
        <f t="shared" si="232"/>
        <v>0,530961544293334-9,08054099371144i</v>
      </c>
      <c r="AD228" s="68">
        <f t="shared" si="233"/>
        <v>19.1770577920478</v>
      </c>
      <c r="AE228" s="31">
        <f t="shared" si="234"/>
        <v>-86.6535853443985</v>
      </c>
      <c r="AF228" s="32" t="str">
        <f t="shared" si="235"/>
        <v>236,914774604583</v>
      </c>
      <c r="AG228" s="32" t="str">
        <f t="shared" si="217"/>
        <v>1+2,60744395851802i</v>
      </c>
      <c r="AH228" s="32">
        <f t="shared" si="236"/>
        <v>2.79262671992018</v>
      </c>
      <c r="AI228" s="32">
        <f t="shared" si="237"/>
        <v>1.2045793791097</v>
      </c>
      <c r="AJ228" s="32" t="str">
        <f t="shared" si="218"/>
        <v>1+0,124029766675452i</v>
      </c>
      <c r="AK228" s="32">
        <f t="shared" si="238"/>
        <v>1.00766233581571</v>
      </c>
      <c r="AL228" s="32">
        <f t="shared" si="239"/>
        <v>0.123399574089481</v>
      </c>
      <c r="AM228" s="32" t="str">
        <f t="shared" si="219"/>
        <v>1-0,00589581185203548i</v>
      </c>
      <c r="AN228" s="32">
        <f t="shared" si="240"/>
        <v>1.00001738014766</v>
      </c>
      <c r="AO228" s="32">
        <f t="shared" si="241"/>
        <v>-0.00589574353947952</v>
      </c>
      <c r="AP228" s="30" t="str">
        <f t="shared" si="242"/>
        <v>39,7581367218664-75,6794341172264i</v>
      </c>
      <c r="AQ228" s="32">
        <f t="shared" si="243"/>
        <v>38.63803660324</v>
      </c>
      <c r="AR228" s="31">
        <f t="shared" si="244"/>
        <v>-62.2848409443397</v>
      </c>
      <c r="AS228" t="str">
        <f t="shared" si="220"/>
        <v>-0,000272527472527473</v>
      </c>
      <c r="AT228" t="str">
        <f t="shared" si="221"/>
        <v>0,00177739085280447i</v>
      </c>
      <c r="AU228">
        <f t="shared" si="245"/>
        <v>0.00177739085280447</v>
      </c>
      <c r="AV228">
        <f t="shared" si="246"/>
        <v>1.5707963267949</v>
      </c>
      <c r="AW228" t="str">
        <f t="shared" si="222"/>
        <v>1+0,0909991516057813i</v>
      </c>
      <c r="AX228">
        <f t="shared" si="247"/>
        <v>1.00413188655324</v>
      </c>
      <c r="AY228">
        <f t="shared" si="248"/>
        <v>0.0907492089694531</v>
      </c>
      <c r="AZ228" t="str">
        <f t="shared" si="223"/>
        <v>1+4,35053390762107i</v>
      </c>
      <c r="BA228">
        <f t="shared" si="249"/>
        <v>4.46398311840005</v>
      </c>
      <c r="BB228">
        <f t="shared" si="250"/>
        <v>1.34486390521051</v>
      </c>
      <c r="BC228" s="30" t="str">
        <f t="shared" si="251"/>
        <v>-0,647750858196677+0,212274853414276i</v>
      </c>
      <c r="BD228" s="32">
        <f t="shared" si="252"/>
        <v>-3.32881734385998</v>
      </c>
      <c r="BE228" s="31">
        <f t="shared" si="253"/>
        <v>161.855479119944</v>
      </c>
      <c r="BF228" s="30" t="str">
        <f t="shared" si="254"/>
        <v>1,58363971237698+5,99463800555018i</v>
      </c>
      <c r="BG228" s="68">
        <f t="shared" si="255"/>
        <v>15.8482404481879</v>
      </c>
      <c r="BH228" s="31">
        <f t="shared" si="256"/>
        <v>75.2018937755454</v>
      </c>
      <c r="BI228" s="30" t="str">
        <f t="shared" si="209"/>
        <v>-9,68852639818019+57,4610710419312i</v>
      </c>
      <c r="BJ228" s="68">
        <f t="shared" si="257"/>
        <v>35.3092192593801</v>
      </c>
      <c r="BK228" s="31">
        <f t="shared" si="210"/>
        <v>99.5706381756042</v>
      </c>
      <c r="BL228" s="32">
        <f t="shared" si="258"/>
        <v>15.8482404481879</v>
      </c>
      <c r="BM228" s="31">
        <f t="shared" si="259"/>
        <v>75.2018937755454</v>
      </c>
      <c r="BO228">
        <f t="shared" si="260"/>
        <v>0</v>
      </c>
      <c r="BP228">
        <f t="shared" si="261"/>
        <v>0</v>
      </c>
    </row>
    <row r="229" spans="14:68">
      <c r="N229" s="7">
        <v>11</v>
      </c>
      <c r="O229" s="18">
        <f t="shared" si="262"/>
        <v>1288.24955169313</v>
      </c>
      <c r="P229" s="86" t="str">
        <f t="shared" si="212"/>
        <v>96,0576923076923</v>
      </c>
      <c r="Q229" s="4" t="str">
        <f t="shared" si="213"/>
        <v>1+10,8046594461016i</v>
      </c>
      <c r="R229" s="4">
        <f t="shared" si="224"/>
        <v>10.8508370988709</v>
      </c>
      <c r="S229" s="4">
        <f t="shared" si="225"/>
        <v>1.47850658279616</v>
      </c>
      <c r="T229" s="4" t="str">
        <f t="shared" si="214"/>
        <v>1+0,126918791073206i</v>
      </c>
      <c r="U229" s="4">
        <f t="shared" si="226"/>
        <v>1.00802201341413</v>
      </c>
      <c r="V229" s="4">
        <f t="shared" si="227"/>
        <v>0.126243817448207</v>
      </c>
      <c r="W229" t="str">
        <f t="shared" si="215"/>
        <v>1-0,0602576459885546i</v>
      </c>
      <c r="X229" s="4">
        <f t="shared" si="228"/>
        <v>1.0018138469297</v>
      </c>
      <c r="Y229" s="4">
        <f t="shared" si="229"/>
        <v>-0.0601848729513748</v>
      </c>
      <c r="Z229" t="str">
        <f t="shared" si="216"/>
        <v>0,999986452351776+0,103293068808627i</v>
      </c>
      <c r="AA229" s="4">
        <f t="shared" si="230"/>
        <v>1.00530709882652</v>
      </c>
      <c r="AB229" s="4">
        <f t="shared" si="231"/>
        <v>0.102929427023464</v>
      </c>
      <c r="AC229" s="67" t="str">
        <f t="shared" si="232"/>
        <v>0,492567333097605-8,87891580697162i</v>
      </c>
      <c r="AD229" s="68">
        <f t="shared" si="233"/>
        <v>18.9805440535133</v>
      </c>
      <c r="AE229" s="31">
        <f t="shared" si="234"/>
        <v>-86.8247102139163</v>
      </c>
      <c r="AF229" s="32" t="str">
        <f t="shared" si="235"/>
        <v>236,914774604583</v>
      </c>
      <c r="AG229" s="32" t="str">
        <f t="shared" si="217"/>
        <v>1+2,66817913051626i</v>
      </c>
      <c r="AH229" s="32">
        <f t="shared" si="236"/>
        <v>2.84941746195999</v>
      </c>
      <c r="AI229" s="32">
        <f t="shared" si="237"/>
        <v>1.2122120319931</v>
      </c>
      <c r="AJ229" s="32" t="str">
        <f t="shared" si="218"/>
        <v>1+0,126918791073206i</v>
      </c>
      <c r="AK229" s="32">
        <f t="shared" si="238"/>
        <v>1.00802201341413</v>
      </c>
      <c r="AL229" s="32">
        <f t="shared" si="239"/>
        <v>0.126243817448207</v>
      </c>
      <c r="AM229" s="32" t="str">
        <f t="shared" si="219"/>
        <v>1-0,00603314295199369i</v>
      </c>
      <c r="AN229" s="32">
        <f t="shared" si="240"/>
        <v>1.00001819924133</v>
      </c>
      <c r="AO229" s="32">
        <f t="shared" si="241"/>
        <v>-0.00603306975384314</v>
      </c>
      <c r="AP229" s="30" t="str">
        <f t="shared" si="242"/>
        <v>38,6137223563893-74,3887320653013i</v>
      </c>
      <c r="AQ229" s="32">
        <f t="shared" si="243"/>
        <v>38.4662796804201</v>
      </c>
      <c r="AR229" s="31">
        <f t="shared" si="244"/>
        <v>-62.5670648131834</v>
      </c>
      <c r="AS229" t="str">
        <f t="shared" si="220"/>
        <v>-0,000272527472527473</v>
      </c>
      <c r="AT229" t="str">
        <f t="shared" si="221"/>
        <v>0,00181879160421871i</v>
      </c>
      <c r="AU229">
        <f t="shared" si="245"/>
        <v>0.00181879160421871</v>
      </c>
      <c r="AV229">
        <f t="shared" si="246"/>
        <v>1.5707963267949</v>
      </c>
      <c r="AW229" t="str">
        <f t="shared" si="222"/>
        <v>1+0,0931187941416894i</v>
      </c>
      <c r="AX229">
        <f t="shared" si="247"/>
        <v>1.0043261969213</v>
      </c>
      <c r="AY229">
        <f t="shared" si="248"/>
        <v>0.0928510380492673</v>
      </c>
      <c r="AZ229" t="str">
        <f t="shared" si="223"/>
        <v>1+4,45187086034842i</v>
      </c>
      <c r="BA229">
        <f t="shared" si="249"/>
        <v>4.5628011305797</v>
      </c>
      <c r="BB229">
        <f t="shared" si="250"/>
        <v>1.3498391625412</v>
      </c>
      <c r="BC229" s="30" t="str">
        <f t="shared" si="251"/>
        <v>-0,647500237367872+0,210134297561603i</v>
      </c>
      <c r="BD229" s="32">
        <f t="shared" si="252"/>
        <v>-3.34031805594571</v>
      </c>
      <c r="BE229" s="31">
        <f t="shared" si="253"/>
        <v>162.020114431452</v>
      </c>
      <c r="BF229" s="30" t="str">
        <f t="shared" si="254"/>
        <v>1,54682727110624+5,85260538312573i</v>
      </c>
      <c r="BG229" s="68">
        <f t="shared" si="255"/>
        <v>15.6402259975676</v>
      </c>
      <c r="BH229" s="31">
        <f t="shared" si="256"/>
        <v>75.1954042175361</v>
      </c>
      <c r="BI229" s="30" t="str">
        <f t="shared" si="209"/>
        <v>-9,3707704323788+56,2807890933763i</v>
      </c>
      <c r="BJ229" s="68">
        <f t="shared" si="257"/>
        <v>35.1259616244744</v>
      </c>
      <c r="BK229" s="31">
        <f t="shared" si="210"/>
        <v>99.453049618269</v>
      </c>
      <c r="BL229" s="32">
        <f t="shared" si="258"/>
        <v>15.6402259975676</v>
      </c>
      <c r="BM229" s="31">
        <f t="shared" si="259"/>
        <v>75.1954042175361</v>
      </c>
      <c r="BO229">
        <f t="shared" si="260"/>
        <v>0</v>
      </c>
      <c r="BP229">
        <f t="shared" si="261"/>
        <v>0</v>
      </c>
    </row>
    <row r="230" spans="14:68">
      <c r="N230" s="7">
        <v>12</v>
      </c>
      <c r="O230" s="18">
        <f t="shared" si="262"/>
        <v>1318.25673855641</v>
      </c>
      <c r="P230" s="86" t="str">
        <f t="shared" si="212"/>
        <v>96,0576923076923</v>
      </c>
      <c r="Q230" s="4" t="str">
        <f t="shared" si="213"/>
        <v>1+11,0563322951759i</v>
      </c>
      <c r="R230" s="4">
        <f t="shared" si="224"/>
        <v>11.1014631387646</v>
      </c>
      <c r="S230" s="4">
        <f t="shared" si="225"/>
        <v>1.48059584629448</v>
      </c>
      <c r="T230" s="4" t="str">
        <f t="shared" si="214"/>
        <v>1+0,129875109493958i</v>
      </c>
      <c r="U230" s="4">
        <f t="shared" si="226"/>
        <v>1.00839850459333</v>
      </c>
      <c r="V230" s="4">
        <f t="shared" si="227"/>
        <v>0.12915218715421</v>
      </c>
      <c r="W230" t="str">
        <f t="shared" si="215"/>
        <v>1-0,0616612268714228i</v>
      </c>
      <c r="X230" s="4">
        <f t="shared" si="228"/>
        <v>1.0018992498746</v>
      </c>
      <c r="Y230" s="4">
        <f t="shared" si="229"/>
        <v>-0.0615832571384705</v>
      </c>
      <c r="Z230" t="str">
        <f t="shared" si="216"/>
        <v>0,999985813870786+0,105699073463042i</v>
      </c>
      <c r="AA230" s="4">
        <f t="shared" si="230"/>
        <v>1.00555652355985</v>
      </c>
      <c r="AB230" s="4">
        <f t="shared" si="231"/>
        <v>0.105309540463651</v>
      </c>
      <c r="AC230" s="67" t="str">
        <f t="shared" si="232"/>
        <v>0,455858101321915-8,68168076898175i</v>
      </c>
      <c r="AD230" s="68">
        <f t="shared" si="233"/>
        <v>18.784033685233</v>
      </c>
      <c r="AE230" s="31">
        <f t="shared" si="234"/>
        <v>-86.9942708521869</v>
      </c>
      <c r="AF230" s="32" t="str">
        <f t="shared" si="235"/>
        <v>236,914774604583</v>
      </c>
      <c r="AG230" s="32" t="str">
        <f t="shared" si="217"/>
        <v>1+2,73032900640706i</v>
      </c>
      <c r="AH230" s="32">
        <f t="shared" si="236"/>
        <v>2.90769607820827</v>
      </c>
      <c r="AI230" s="32">
        <f t="shared" si="237"/>
        <v>1.2197133788357</v>
      </c>
      <c r="AJ230" s="32" t="str">
        <f t="shared" si="218"/>
        <v>1+0,129875109493958i</v>
      </c>
      <c r="AK230" s="32">
        <f t="shared" si="238"/>
        <v>1.00839850459333</v>
      </c>
      <c r="AL230" s="32">
        <f t="shared" si="239"/>
        <v>0.12915218715421</v>
      </c>
      <c r="AM230" s="32" t="str">
        <f t="shared" si="219"/>
        <v>1-0,0061736729042032i</v>
      </c>
      <c r="AN230" s="32">
        <f t="shared" si="240"/>
        <v>1.00001905693698</v>
      </c>
      <c r="AO230" s="32">
        <f t="shared" si="241"/>
        <v>-0.0061735944710525</v>
      </c>
      <c r="AP230" s="30" t="str">
        <f t="shared" si="242"/>
        <v>37,50834374369-73,1034209377588i</v>
      </c>
      <c r="AQ230" s="32">
        <f t="shared" si="243"/>
        <v>38.2936720756811</v>
      </c>
      <c r="AR230" s="31">
        <f t="shared" si="244"/>
        <v>-62.8382744917235</v>
      </c>
      <c r="AS230" t="str">
        <f t="shared" si="220"/>
        <v>-0,000272527472527473</v>
      </c>
      <c r="AT230" t="str">
        <f t="shared" si="221"/>
        <v>0,00186115670301609i</v>
      </c>
      <c r="AU230">
        <f t="shared" si="245"/>
        <v>0.00186115670301609</v>
      </c>
      <c r="AV230">
        <f t="shared" si="246"/>
        <v>1.5707963267949</v>
      </c>
      <c r="AW230" t="str">
        <f t="shared" si="222"/>
        <v>1+0,0952878094948255i</v>
      </c>
      <c r="AX230">
        <f t="shared" si="247"/>
        <v>1.00452962456979</v>
      </c>
      <c r="AY230">
        <f t="shared" si="248"/>
        <v>0.0950009734985553</v>
      </c>
      <c r="AZ230" t="str">
        <f t="shared" si="223"/>
        <v>1+4,55556825393346i</v>
      </c>
      <c r="BA230">
        <f t="shared" si="249"/>
        <v>4.66403281680633</v>
      </c>
      <c r="BB230">
        <f t="shared" si="250"/>
        <v>1.35471193824719</v>
      </c>
      <c r="BC230" s="30" t="str">
        <f t="shared" si="251"/>
        <v>-0,647238012919361+0,208102977184452i</v>
      </c>
      <c r="BD230" s="32">
        <f t="shared" si="252"/>
        <v>-3.35147607595667</v>
      </c>
      <c r="BE230" s="31">
        <f t="shared" si="253"/>
        <v>162.17612168645</v>
      </c>
      <c r="BF230" s="30" t="str">
        <f t="shared" si="254"/>
        <v>1,51163492331732+5,71397923777472i</v>
      </c>
      <c r="BG230" s="68">
        <f t="shared" si="255"/>
        <v>15.4325576092764</v>
      </c>
      <c r="BH230" s="31">
        <f t="shared" si="256"/>
        <v>75.1818508342629</v>
      </c>
      <c r="BI230" s="30" t="str">
        <f t="shared" si="209"/>
        <v>-9,06378633304645+55,1209109076823i</v>
      </c>
      <c r="BJ230" s="68">
        <f t="shared" si="257"/>
        <v>34.9421959997245</v>
      </c>
      <c r="BK230" s="31">
        <f t="shared" si="210"/>
        <v>99.3378471947264</v>
      </c>
      <c r="BL230" s="32">
        <f t="shared" si="258"/>
        <v>15.4325576092764</v>
      </c>
      <c r="BM230" s="31">
        <f t="shared" si="259"/>
        <v>75.1818508342629</v>
      </c>
      <c r="BO230">
        <f t="shared" si="260"/>
        <v>0</v>
      </c>
      <c r="BP230">
        <f t="shared" si="261"/>
        <v>0</v>
      </c>
    </row>
    <row r="231" spans="14:68">
      <c r="N231" s="7">
        <v>13</v>
      </c>
      <c r="O231" s="18">
        <f t="shared" si="262"/>
        <v>1348.96288259165</v>
      </c>
      <c r="P231" s="86" t="str">
        <f t="shared" si="212"/>
        <v>96,0576923076923</v>
      </c>
      <c r="Q231" s="4" t="str">
        <f t="shared" si="213"/>
        <v>1+11,3138673579808i</v>
      </c>
      <c r="R231" s="4">
        <f t="shared" si="224"/>
        <v>11.3579749336747</v>
      </c>
      <c r="S231" s="4">
        <f t="shared" si="225"/>
        <v>1.48263831560848</v>
      </c>
      <c r="T231" s="4" t="str">
        <f t="shared" si="214"/>
        <v>1+0,132900289416862i</v>
      </c>
      <c r="U231" s="4">
        <f t="shared" si="226"/>
        <v>1.00879258865591</v>
      </c>
      <c r="V231" s="4">
        <f t="shared" si="227"/>
        <v>0.132126028352645</v>
      </c>
      <c r="W231" t="str">
        <f t="shared" si="215"/>
        <v>1-0,0630975013529603i</v>
      </c>
      <c r="X231" s="4">
        <f t="shared" si="228"/>
        <v>1.00198866993444</v>
      </c>
      <c r="Y231" s="4">
        <f t="shared" si="229"/>
        <v>-0.0630139642317959</v>
      </c>
      <c r="Z231" t="str">
        <f t="shared" si="216"/>
        <v>0,999985145299113+0,108161121165299i</v>
      </c>
      <c r="AA231" s="4">
        <f t="shared" si="230"/>
        <v>1.00581763702503</v>
      </c>
      <c r="AB231" s="4">
        <f t="shared" si="231"/>
        <v>0.107743859313165</v>
      </c>
      <c r="AC231" s="67" t="str">
        <f t="shared" si="232"/>
        <v>0,42075983867837-8,48875195218732i</v>
      </c>
      <c r="AD231" s="68">
        <f t="shared" si="233"/>
        <v>18.5875337998597</v>
      </c>
      <c r="AE231" s="31">
        <f t="shared" si="234"/>
        <v>-87.1623568482846</v>
      </c>
      <c r="AF231" s="32" t="str">
        <f t="shared" si="235"/>
        <v>236,914774604583</v>
      </c>
      <c r="AG231" s="32" t="str">
        <f t="shared" si="217"/>
        <v>1+2,79392653887721i</v>
      </c>
      <c r="AH231" s="32">
        <f t="shared" si="236"/>
        <v>2.96749481964879</v>
      </c>
      <c r="AI231" s="32">
        <f t="shared" si="237"/>
        <v>1.22708401914297</v>
      </c>
      <c r="AJ231" s="32" t="str">
        <f t="shared" si="218"/>
        <v>1+0,132900289416862i</v>
      </c>
      <c r="AK231" s="32">
        <f t="shared" si="238"/>
        <v>1.00879258865591</v>
      </c>
      <c r="AL231" s="32">
        <f t="shared" si="239"/>
        <v>0.132126028352645</v>
      </c>
      <c r="AM231" s="32" t="str">
        <f t="shared" si="219"/>
        <v>1-0,00631747621950468i</v>
      </c>
      <c r="AN231" s="32">
        <f t="shared" si="240"/>
        <v>1.00001995505379</v>
      </c>
      <c r="AO231" s="32">
        <f t="shared" si="241"/>
        <v>-0.00631739217696011</v>
      </c>
      <c r="AP231" s="30" t="str">
        <f t="shared" si="242"/>
        <v>36,4411499735231-71,8245573607647i</v>
      </c>
      <c r="AQ231" s="32">
        <f t="shared" si="243"/>
        <v>38.1202544999575</v>
      </c>
      <c r="AR231" s="31">
        <f t="shared" si="244"/>
        <v>-63.0984315256788</v>
      </c>
      <c r="AS231" t="str">
        <f t="shared" si="220"/>
        <v>-0,000272527472527473</v>
      </c>
      <c r="AT231" t="str">
        <f t="shared" si="221"/>
        <v>0,00190450861173271i</v>
      </c>
      <c r="AU231">
        <f t="shared" si="245"/>
        <v>0.00190450861173271</v>
      </c>
      <c r="AV231">
        <f t="shared" si="246"/>
        <v>1.5707963267949</v>
      </c>
      <c r="AW231" t="str">
        <f t="shared" si="222"/>
        <v>1+0,097507347705838i</v>
      </c>
      <c r="AX231">
        <f t="shared" si="247"/>
        <v>1.00474259532311</v>
      </c>
      <c r="AY231">
        <f t="shared" si="248"/>
        <v>0.0972000756978751</v>
      </c>
      <c r="AZ231" t="str">
        <f t="shared" si="223"/>
        <v>1+4,66168107010676i</v>
      </c>
      <c r="BA231">
        <f t="shared" si="249"/>
        <v>4.76773220718107</v>
      </c>
      <c r="BB231">
        <f t="shared" si="250"/>
        <v>1.35948388992561</v>
      </c>
      <c r="BC231" s="30" t="str">
        <f t="shared" si="251"/>
        <v>-0,646963657758391+0,206179662140739i</v>
      </c>
      <c r="BD231" s="32">
        <f t="shared" si="252"/>
        <v>-3.36231224892432</v>
      </c>
      <c r="BE231" s="31">
        <f t="shared" si="253"/>
        <v>162.323535102925</v>
      </c>
      <c r="BF231" s="30" t="str">
        <f t="shared" si="254"/>
        <v>1,47799168522933+5,57866613417189i</v>
      </c>
      <c r="BG231" s="68">
        <f t="shared" si="255"/>
        <v>15.2252215509354</v>
      </c>
      <c r="BH231" s="31">
        <f t="shared" si="256"/>
        <v>75.1611782546401</v>
      </c>
      <c r="BI231" s="30" t="str">
        <f t="shared" si="209"/>
        <v>-8,76733670974201+53,9813023365587i</v>
      </c>
      <c r="BJ231" s="68">
        <f t="shared" si="257"/>
        <v>34.7579422510332</v>
      </c>
      <c r="BK231" s="31">
        <f t="shared" si="210"/>
        <v>99.2251035772459</v>
      </c>
      <c r="BL231" s="32">
        <f t="shared" si="258"/>
        <v>15.2252215509354</v>
      </c>
      <c r="BM231" s="31">
        <f t="shared" si="259"/>
        <v>75.1611782546401</v>
      </c>
      <c r="BO231">
        <f t="shared" si="260"/>
        <v>0</v>
      </c>
      <c r="BP231">
        <f t="shared" si="261"/>
        <v>0</v>
      </c>
    </row>
    <row r="232" spans="14:68">
      <c r="N232" s="7">
        <v>14</v>
      </c>
      <c r="O232" s="18">
        <f t="shared" si="262"/>
        <v>1380.38426460289</v>
      </c>
      <c r="P232" s="86" t="str">
        <f t="shared" si="212"/>
        <v>96,0576923076923</v>
      </c>
      <c r="Q232" s="4" t="str">
        <f t="shared" si="213"/>
        <v>1+11,5774011830158i</v>
      </c>
      <c r="R232" s="4">
        <f t="shared" si="224"/>
        <v>11.6205085152284</v>
      </c>
      <c r="S232" s="4">
        <f t="shared" si="225"/>
        <v>1.48463500548043</v>
      </c>
      <c r="T232" s="4" t="str">
        <f t="shared" si="214"/>
        <v>1+0,13599593483236i</v>
      </c>
      <c r="U232" s="4">
        <f t="shared" si="226"/>
        <v>1.00920508039294</v>
      </c>
      <c r="V232" s="4">
        <f t="shared" si="227"/>
        <v>0.135166707303096</v>
      </c>
      <c r="W232" t="str">
        <f t="shared" si="215"/>
        <v>1-0,0645672309649101i</v>
      </c>
      <c r="X232" s="4">
        <f t="shared" si="228"/>
        <v>1.00208229567959</v>
      </c>
      <c r="Y232" s="4">
        <f t="shared" si="229"/>
        <v>-0.0644777293695956</v>
      </c>
      <c r="Z232" t="str">
        <f t="shared" si="216"/>
        <v>0,999984445218629+0,110680517325681i</v>
      </c>
      <c r="AA232" s="4">
        <f t="shared" si="230"/>
        <v>1.00609098375579</v>
      </c>
      <c r="AB232" s="4">
        <f t="shared" si="231"/>
        <v>0.110233559257648</v>
      </c>
      <c r="AC232" s="67" t="str">
        <f t="shared" si="232"/>
        <v>0,38720162211209-8,30004635593013i</v>
      </c>
      <c r="AD232" s="68">
        <f t="shared" si="233"/>
        <v>18.3910515209249</v>
      </c>
      <c r="AE232" s="31">
        <f t="shared" si="234"/>
        <v>-87.3290575438958</v>
      </c>
      <c r="AF232" s="32" t="str">
        <f t="shared" si="235"/>
        <v>236,914774604583</v>
      </c>
      <c r="AG232" s="32" t="str">
        <f t="shared" si="217"/>
        <v>1+2,85900544818029i</v>
      </c>
      <c r="AH232" s="32">
        <f t="shared" si="236"/>
        <v>3.02884667038868</v>
      </c>
      <c r="AI232" s="32">
        <f t="shared" si="237"/>
        <v>1.23432465659712</v>
      </c>
      <c r="AJ232" s="32" t="str">
        <f t="shared" si="218"/>
        <v>1+0,13599593483236i</v>
      </c>
      <c r="AK232" s="32">
        <f t="shared" si="238"/>
        <v>1.00920508039294</v>
      </c>
      <c r="AL232" s="32">
        <f t="shared" si="239"/>
        <v>0.135166707303096</v>
      </c>
      <c r="AM232" s="32" t="str">
        <f t="shared" si="219"/>
        <v>1-0,00646462914431949i</v>
      </c>
      <c r="AN232" s="32">
        <f t="shared" si="240"/>
        <v>1.00002089549668</v>
      </c>
      <c r="AO232" s="32">
        <f t="shared" si="241"/>
        <v>-0.00646453909121215</v>
      </c>
      <c r="AP232" s="30" t="str">
        <f t="shared" si="242"/>
        <v>35,4112697333292-70,5531330032505i</v>
      </c>
      <c r="AQ232" s="32">
        <f t="shared" si="243"/>
        <v>37.9460671906175</v>
      </c>
      <c r="AR232" s="31">
        <f t="shared" si="244"/>
        <v>-63.3475023192258</v>
      </c>
      <c r="AS232" t="str">
        <f t="shared" si="220"/>
        <v>-0,000272527472527473</v>
      </c>
      <c r="AT232" t="str">
        <f t="shared" si="221"/>
        <v>0,00194887031612444i</v>
      </c>
      <c r="AU232">
        <f t="shared" si="245"/>
        <v>0.00194887031612444</v>
      </c>
      <c r="AV232">
        <f t="shared" si="246"/>
        <v>1.5707963267949</v>
      </c>
      <c r="AW232" t="str">
        <f t="shared" si="222"/>
        <v>1+0,0997785856032675i</v>
      </c>
      <c r="AX232">
        <f t="shared" si="247"/>
        <v>1.00496555470573</v>
      </c>
      <c r="AY232">
        <f t="shared" si="248"/>
        <v>0.0994494255137498</v>
      </c>
      <c r="AZ232" t="str">
        <f t="shared" si="223"/>
        <v>1+4,77026557128812i</v>
      </c>
      <c r="BA232">
        <f t="shared" si="249"/>
        <v>4.87395461823526</v>
      </c>
      <c r="BB232">
        <f t="shared" si="250"/>
        <v>1.36415667801118</v>
      </c>
      <c r="BC232" s="30" t="str">
        <f t="shared" si="251"/>
        <v>-0,646676621817871+0,204363168945152i</v>
      </c>
      <c r="BD232" s="32">
        <f t="shared" si="252"/>
        <v>-3.37284695357687</v>
      </c>
      <c r="BE232" s="31">
        <f t="shared" si="253"/>
        <v>162.462387887689</v>
      </c>
      <c r="BF232" s="30" t="str">
        <f t="shared" si="254"/>
        <v>1,4458295387397+5,44657568890016i</v>
      </c>
      <c r="BG232" s="68">
        <f t="shared" si="255"/>
        <v>15.018204567348</v>
      </c>
      <c r="BH232" s="31">
        <f t="shared" si="256"/>
        <v>75.1333303437933</v>
      </c>
      <c r="BI232" s="30" t="str">
        <f t="shared" si="209"/>
        <v>-8,48117844587769+52,8618210082837i</v>
      </c>
      <c r="BJ232" s="68">
        <f t="shared" si="257"/>
        <v>34.5732202370406</v>
      </c>
      <c r="BK232" s="31">
        <f t="shared" si="210"/>
        <v>99.1148855684633</v>
      </c>
      <c r="BL232" s="32">
        <f t="shared" si="258"/>
        <v>15.018204567348</v>
      </c>
      <c r="BM232" s="31">
        <f t="shared" si="259"/>
        <v>75.1333303437933</v>
      </c>
      <c r="BO232">
        <f t="shared" si="260"/>
        <v>0</v>
      </c>
      <c r="BP232">
        <f t="shared" si="261"/>
        <v>0</v>
      </c>
    </row>
    <row r="233" spans="14:68">
      <c r="N233" s="7">
        <v>15</v>
      </c>
      <c r="O233" s="18">
        <f t="shared" si="262"/>
        <v>1412.53754462275</v>
      </c>
      <c r="P233" s="86" t="str">
        <f t="shared" si="212"/>
        <v>96,0576923076923</v>
      </c>
      <c r="Q233" s="4" t="str">
        <f t="shared" si="213"/>
        <v>1+11,8470734994029i</v>
      </c>
      <c r="R233" s="4">
        <f t="shared" si="224"/>
        <v>11.8892031061907</v>
      </c>
      <c r="S233" s="4">
        <f t="shared" si="225"/>
        <v>1.48658691086366</v>
      </c>
      <c r="T233" s="4" t="str">
        <f t="shared" si="214"/>
        <v>1+0,139163687092623i</v>
      </c>
      <c r="U233" s="4">
        <f t="shared" si="226"/>
        <v>1.00963683164057</v>
      </c>
      <c r="V233" s="4">
        <f t="shared" si="227"/>
        <v>0.138275611188648</v>
      </c>
      <c r="W233" t="str">
        <f t="shared" si="215"/>
        <v>1-0,066071194977365i</v>
      </c>
      <c r="X233" s="4">
        <f t="shared" si="228"/>
        <v>1.00218032449542</v>
      </c>
      <c r="Y233" s="4">
        <f t="shared" si="229"/>
        <v>-0.0659753035551705</v>
      </c>
      <c r="Z233" t="str">
        <f t="shared" si="216"/>
        <v>0,999983712144368+0,113258597761377i</v>
      </c>
      <c r="AA233" s="4">
        <f t="shared" si="230"/>
        <v>1.0063771333456</v>
      </c>
      <c r="AB233" s="4">
        <f t="shared" si="231"/>
        <v>0.112779837316665</v>
      </c>
      <c r="AC233" s="67" t="str">
        <f t="shared" si="232"/>
        <v>0,355115494104465-8,11548194809903i</v>
      </c>
      <c r="AD233" s="68">
        <f t="shared" si="233"/>
        <v>18.1945939955384</v>
      </c>
      <c r="AE233" s="31">
        <f t="shared" si="234"/>
        <v>-87.4944620793997</v>
      </c>
      <c r="AF233" s="32" t="str">
        <f t="shared" si="235"/>
        <v>236,914774604583</v>
      </c>
      <c r="AG233" s="32" t="str">
        <f t="shared" si="217"/>
        <v>1+2,92560024001536i</v>
      </c>
      <c r="AH233" s="32">
        <f t="shared" si="236"/>
        <v>3.09178536842031</v>
      </c>
      <c r="AI233" s="32">
        <f t="shared" si="237"/>
        <v>1.24143609250247</v>
      </c>
      <c r="AJ233" s="32" t="str">
        <f t="shared" si="218"/>
        <v>1+0,139163687092623i</v>
      </c>
      <c r="AK233" s="32">
        <f t="shared" si="238"/>
        <v>1.00963683164057</v>
      </c>
      <c r="AL233" s="32">
        <f t="shared" si="239"/>
        <v>0.138275611188648</v>
      </c>
      <c r="AM233" s="32" t="str">
        <f t="shared" si="219"/>
        <v>1-0,00661520970107601i</v>
      </c>
      <c r="AN233" s="32">
        <f t="shared" si="240"/>
        <v>1.00002188026032</v>
      </c>
      <c r="AO233" s="32">
        <f t="shared" si="241"/>
        <v>-0.00661511320754703</v>
      </c>
      <c r="AP233" s="30" t="str">
        <f t="shared" si="242"/>
        <v>34,4178152148067-69,2900758078438i</v>
      </c>
      <c r="AQ233" s="32">
        <f t="shared" si="243"/>
        <v>37.7711499067945</v>
      </c>
      <c r="AR233" s="31">
        <f t="shared" si="244"/>
        <v>-63.5854577726959</v>
      </c>
      <c r="AS233" t="str">
        <f t="shared" si="220"/>
        <v>-0,000272527472527473</v>
      </c>
      <c r="AT233" t="str">
        <f t="shared" si="221"/>
        <v>0,0019942653373541i</v>
      </c>
      <c r="AU233">
        <f t="shared" si="245"/>
        <v>0.0019942653373541</v>
      </c>
      <c r="AV233">
        <f t="shared" si="246"/>
        <v>1.5707963267949</v>
      </c>
      <c r="AW233" t="str">
        <f t="shared" si="222"/>
        <v>1+0,102102727427508i</v>
      </c>
      <c r="AX233">
        <f t="shared" si="247"/>
        <v>1.00519896883559</v>
      </c>
      <c r="AY233">
        <f t="shared" si="248"/>
        <v>0.101750124485197</v>
      </c>
      <c r="AZ233" t="str">
        <f t="shared" si="223"/>
        <v>1+4,88137933041725i</v>
      </c>
      <c r="BA233">
        <f t="shared" si="249"/>
        <v>4.98275668354624</v>
      </c>
      <c r="BB233">
        <f t="shared" si="250"/>
        <v>1.36873196345757</v>
      </c>
      <c r="BC233" s="30" t="str">
        <f t="shared" si="251"/>
        <v>-0,646376331147848+0,202652359423634i</v>
      </c>
      <c r="BD233" s="32">
        <f t="shared" si="252"/>
        <v>-3.38310012653698</v>
      </c>
      <c r="BE233" s="31">
        <f t="shared" si="253"/>
        <v>162.59271209284</v>
      </c>
      <c r="BF233" s="30" t="str">
        <f t="shared" si="254"/>
        <v>1,41508331442918+5,317620439857i</v>
      </c>
      <c r="BG233" s="68">
        <f t="shared" si="255"/>
        <v>14.8114938690015</v>
      </c>
      <c r="BH233" s="31">
        <f t="shared" si="256"/>
        <v>75.0982500134407</v>
      </c>
      <c r="BI233" s="30" t="str">
        <f t="shared" si="209"/>
        <v>-8,20506377756933+51,7623164451176i</v>
      </c>
      <c r="BJ233" s="68">
        <f t="shared" si="257"/>
        <v>34.3880497802575</v>
      </c>
      <c r="BK233" s="31">
        <f t="shared" si="210"/>
        <v>99.0072543201445</v>
      </c>
      <c r="BL233" s="32">
        <f t="shared" si="258"/>
        <v>14.8114938690015</v>
      </c>
      <c r="BM233" s="31">
        <f t="shared" si="259"/>
        <v>75.0982500134407</v>
      </c>
      <c r="BO233">
        <f t="shared" si="260"/>
        <v>0</v>
      </c>
      <c r="BP233">
        <f t="shared" si="261"/>
        <v>0</v>
      </c>
    </row>
    <row r="234" spans="14:68">
      <c r="N234" s="7">
        <v>16</v>
      </c>
      <c r="O234" s="18">
        <f t="shared" si="262"/>
        <v>1445.43977074593</v>
      </c>
      <c r="P234" s="86" t="str">
        <f t="shared" si="212"/>
        <v>96,0576923076923</v>
      </c>
      <c r="Q234" s="4" t="str">
        <f t="shared" si="213"/>
        <v>1+12,1230272909741i</v>
      </c>
      <c r="R234" s="4">
        <f t="shared" si="224"/>
        <v>12.1642011943943</v>
      </c>
      <c r="S234" s="4">
        <f t="shared" si="225"/>
        <v>1.48849500715815</v>
      </c>
      <c r="T234" s="4" t="str">
        <f t="shared" si="214"/>
        <v>1+0,142405225781833i</v>
      </c>
      <c r="U234" s="4">
        <f t="shared" si="226"/>
        <v>1.01008873289923</v>
      </c>
      <c r="V234" s="4">
        <f t="shared" si="227"/>
        <v>0.141454147877324</v>
      </c>
      <c r="W234" t="str">
        <f t="shared" si="215"/>
        <v>1-0,0676101908119533i</v>
      </c>
      <c r="X234" s="4">
        <f t="shared" si="228"/>
        <v>1.00228296299081</v>
      </c>
      <c r="Y234" s="4">
        <f t="shared" si="229"/>
        <v>-0.0675074539378253</v>
      </c>
      <c r="Z234" t="str">
        <f t="shared" si="216"/>
        <v>0,999982944521381+0,115896729404763i</v>
      </c>
      <c r="AA234" s="4">
        <f t="shared" si="230"/>
        <v>1.00667668157178</v>
      </c>
      <c r="AB234" s="4">
        <f t="shared" si="231"/>
        <v>0.115383911927596</v>
      </c>
      <c r="AC234" s="67" t="str">
        <f t="shared" si="232"/>
        <v>0,324436344857691-7,93497770192445i</v>
      </c>
      <c r="AD234" s="68">
        <f t="shared" si="233"/>
        <v>17.9981684070352</v>
      </c>
      <c r="AE234" s="31">
        <f t="shared" si="234"/>
        <v>-87.6586594419391</v>
      </c>
      <c r="AF234" s="32" t="str">
        <f t="shared" si="235"/>
        <v>236,914774604583</v>
      </c>
      <c r="AG234" s="32" t="str">
        <f t="shared" si="217"/>
        <v>1+2,99374622382263i</v>
      </c>
      <c r="AH234" s="32">
        <f t="shared" si="236"/>
        <v>3.15634542670036</v>
      </c>
      <c r="AI234" s="32">
        <f t="shared" si="237"/>
        <v>1.24841921936562</v>
      </c>
      <c r="AJ234" s="32" t="str">
        <f t="shared" si="218"/>
        <v>1+0,142405225781833i</v>
      </c>
      <c r="AK234" s="32">
        <f t="shared" si="238"/>
        <v>1.01008873289923</v>
      </c>
      <c r="AL234" s="32">
        <f t="shared" si="239"/>
        <v>0.141454147877324</v>
      </c>
      <c r="AM234" s="32" t="str">
        <f t="shared" si="219"/>
        <v>1-0,00676929772957878i</v>
      </c>
      <c r="AN234" s="32">
        <f t="shared" si="240"/>
        <v>1.00002291143341</v>
      </c>
      <c r="AO234" s="32">
        <f t="shared" si="241"/>
        <v>-0.00676919433502758</v>
      </c>
      <c r="AP234" s="30" t="str">
        <f t="shared" si="242"/>
        <v>33,4598857874255-68,0362514028584i</v>
      </c>
      <c r="AQ234" s="32">
        <f t="shared" si="243"/>
        <v>37.5955419284401</v>
      </c>
      <c r="AR234" s="31">
        <f t="shared" si="244"/>
        <v>-63.812272930778</v>
      </c>
      <c r="AS234" t="str">
        <f t="shared" si="220"/>
        <v>-0,000272527472527473</v>
      </c>
      <c r="AT234" t="str">
        <f t="shared" si="221"/>
        <v>0,00204071774446288i</v>
      </c>
      <c r="AU234">
        <f t="shared" si="245"/>
        <v>0.00204071774446288</v>
      </c>
      <c r="AV234">
        <f t="shared" si="246"/>
        <v>1.5707963267949</v>
      </c>
      <c r="AW234" t="str">
        <f t="shared" si="222"/>
        <v>1+0,104481005469322i</v>
      </c>
      <c r="AX234">
        <f t="shared" si="247"/>
        <v>1.00544332535647</v>
      </c>
      <c r="AY234">
        <f t="shared" si="248"/>
        <v>0.104103294995109</v>
      </c>
      <c r="AZ234" t="str">
        <f t="shared" si="223"/>
        <v>1+4,99508126148012i</v>
      </c>
      <c r="BA234">
        <f t="shared" si="249"/>
        <v>5.09419638498457</v>
      </c>
      <c r="BB234">
        <f t="shared" si="250"/>
        <v>1.37321140557746</v>
      </c>
      <c r="BC234" s="30" t="str">
        <f t="shared" si="251"/>
        <v>-0,646062186980097+0,201046139345318i</v>
      </c>
      <c r="BD234" s="32">
        <f t="shared" si="252"/>
        <v>-3.39309128688997</v>
      </c>
      <c r="BE234" s="31">
        <f t="shared" si="253"/>
        <v>162.714538482191</v>
      </c>
      <c r="BF234" s="30" t="str">
        <f t="shared" si="254"/>
        <v>1,38569057826851+5,19171572234056i</v>
      </c>
      <c r="BG234" s="68">
        <f t="shared" si="255"/>
        <v>14.6050771201452</v>
      </c>
      <c r="BH234" s="31">
        <f t="shared" si="256"/>
        <v>75.055879040252</v>
      </c>
      <c r="BI234" s="30" t="str">
        <f t="shared" si="209"/>
        <v>-7,93874130785622+50,6826302357556i</v>
      </c>
      <c r="BJ234" s="68">
        <f t="shared" si="257"/>
        <v>34.2024506415502</v>
      </c>
      <c r="BK234" s="31">
        <f t="shared" si="210"/>
        <v>98.9022655514131</v>
      </c>
      <c r="BL234" s="32">
        <f t="shared" si="258"/>
        <v>14.6050771201452</v>
      </c>
      <c r="BM234" s="31">
        <f t="shared" si="259"/>
        <v>75.055879040252</v>
      </c>
      <c r="BO234">
        <f t="shared" si="260"/>
        <v>0</v>
      </c>
      <c r="BP234">
        <f t="shared" si="261"/>
        <v>0</v>
      </c>
    </row>
    <row r="235" spans="14:68">
      <c r="N235" s="7">
        <v>17</v>
      </c>
      <c r="O235" s="18">
        <f t="shared" si="262"/>
        <v>1479.10838816821</v>
      </c>
      <c r="P235" s="86" t="str">
        <f t="shared" si="212"/>
        <v>96,0576923076923</v>
      </c>
      <c r="Q235" s="4" t="str">
        <f t="shared" si="213"/>
        <v>1+12,4054088720821i</v>
      </c>
      <c r="R235" s="4">
        <f t="shared" si="224"/>
        <v>12.4456486083905</v>
      </c>
      <c r="S235" s="4">
        <f t="shared" si="225"/>
        <v>1.49036025045444</v>
      </c>
      <c r="T235" s="4" t="str">
        <f t="shared" si="214"/>
        <v>1+0,145722269606709i</v>
      </c>
      <c r="U235" s="4">
        <f t="shared" si="226"/>
        <v>1.01056171501761</v>
      </c>
      <c r="V235" s="4">
        <f t="shared" si="227"/>
        <v>0.144703745632267</v>
      </c>
      <c r="W235" t="str">
        <f t="shared" si="215"/>
        <v>1-0,0691850344646364i</v>
      </c>
      <c r="X235" s="4">
        <f t="shared" si="228"/>
        <v>1.0023904274253</v>
      </c>
      <c r="Y235" s="4">
        <f t="shared" si="229"/>
        <v>-0.069074964094182</v>
      </c>
      <c r="Z235" t="str">
        <f t="shared" si="216"/>
        <v>0,999982140721437+0,118596311028152i</v>
      </c>
      <c r="AA235" s="4">
        <f t="shared" si="230"/>
        <v>1.00699025156717</v>
      </c>
      <c r="AB235" s="4">
        <f t="shared" si="231"/>
        <v>0.118047023004244</v>
      </c>
      <c r="AC235" s="67" t="str">
        <f t="shared" si="232"/>
        <v>0,295101798315718-7,7584536282505i</v>
      </c>
      <c r="AD235" s="68">
        <f t="shared" si="233"/>
        <v>17.801781987579</v>
      </c>
      <c r="AE235" s="31">
        <f t="shared" si="234"/>
        <v>-87.8217385154776</v>
      </c>
      <c r="AF235" s="32" t="str">
        <f t="shared" si="235"/>
        <v>236,914774604583</v>
      </c>
      <c r="AG235" s="32" t="str">
        <f t="shared" si="217"/>
        <v>1+3,06347953150467i</v>
      </c>
      <c r="AH235" s="32">
        <f t="shared" si="236"/>
        <v>3.22256215455157</v>
      </c>
      <c r="AI235" s="32">
        <f t="shared" si="237"/>
        <v>1.25527501462749</v>
      </c>
      <c r="AJ235" s="32" t="str">
        <f t="shared" si="218"/>
        <v>1+0,145722269606709i</v>
      </c>
      <c r="AK235" s="32">
        <f t="shared" si="238"/>
        <v>1.01056171501761</v>
      </c>
      <c r="AL235" s="32">
        <f t="shared" si="239"/>
        <v>0.144703745632267</v>
      </c>
      <c r="AM235" s="32" t="str">
        <f t="shared" si="219"/>
        <v>1-0,00692697492933999i</v>
      </c>
      <c r="AN235" s="32">
        <f t="shared" si="240"/>
        <v>1.00002399120305</v>
      </c>
      <c r="AO235" s="32">
        <f t="shared" si="241"/>
        <v>-0.00692686414022588</v>
      </c>
      <c r="AP235" s="30" t="str">
        <f t="shared" si="242"/>
        <v>32,5365714379-66,7924646706806i</v>
      </c>
      <c r="AQ235" s="32">
        <f t="shared" si="243"/>
        <v>37.4192820588973</v>
      </c>
      <c r="AR235" s="31">
        <f t="shared" si="244"/>
        <v>-64.02792664241</v>
      </c>
      <c r="AS235" t="str">
        <f t="shared" si="220"/>
        <v>-0,000272527472527473</v>
      </c>
      <c r="AT235" t="str">
        <f t="shared" si="221"/>
        <v>0,00208825216713185i</v>
      </c>
      <c r="AU235">
        <f t="shared" si="245"/>
        <v>0.00208825216713185</v>
      </c>
      <c r="AV235">
        <f t="shared" si="246"/>
        <v>1.5707963267949</v>
      </c>
      <c r="AW235" t="str">
        <f t="shared" si="222"/>
        <v>1+0,106914680723204i</v>
      </c>
      <c r="AX235">
        <f t="shared" si="247"/>
        <v>1.00569913441056</v>
      </c>
      <c r="AY235">
        <f t="shared" si="248"/>
        <v>0.10651008042485</v>
      </c>
      <c r="AZ235" t="str">
        <f t="shared" si="223"/>
        <v>1+5,11143165074551i</v>
      </c>
      <c r="BA235">
        <f t="shared" si="249"/>
        <v>5.20833308460999</v>
      </c>
      <c r="BB235">
        <f t="shared" si="250"/>
        <v>1.37759666003504</v>
      </c>
      <c r="BC235" s="30" t="str">
        <f t="shared" si="251"/>
        <v>-0,645733564766015+0,199543457028479i</v>
      </c>
      <c r="BD235" s="32">
        <f t="shared" si="252"/>
        <v>-3.40283956106821</v>
      </c>
      <c r="BE235" s="31">
        <f t="shared" si="253"/>
        <v>162.827896407383</v>
      </c>
      <c r="BF235" s="30" t="str">
        <f t="shared" si="254"/>
        <v>1,35759152198098+5,06877955145326i</v>
      </c>
      <c r="BG235" s="68">
        <f t="shared" si="255"/>
        <v>14.3989424265108</v>
      </c>
      <c r="BH235" s="31">
        <f t="shared" si="256"/>
        <v>75.0061578919056</v>
      </c>
      <c r="BI235" s="30" t="str">
        <f t="shared" si="209"/>
        <v>-7,68195695601912+49,6225962558793i</v>
      </c>
      <c r="BJ235" s="68">
        <f t="shared" si="257"/>
        <v>34.0164424978291</v>
      </c>
      <c r="BK235" s="31">
        <f t="shared" si="210"/>
        <v>98.7999697649732</v>
      </c>
      <c r="BL235" s="32">
        <f t="shared" si="258"/>
        <v>14.3989424265108</v>
      </c>
      <c r="BM235" s="31">
        <f t="shared" si="259"/>
        <v>75.0061578919056</v>
      </c>
      <c r="BO235">
        <f t="shared" si="260"/>
        <v>0</v>
      </c>
      <c r="BP235">
        <f t="shared" si="261"/>
        <v>0</v>
      </c>
    </row>
    <row r="236" spans="14:68">
      <c r="N236" s="7">
        <v>18</v>
      </c>
      <c r="O236" s="18">
        <f t="shared" si="262"/>
        <v>1513.56124843621</v>
      </c>
      <c r="P236" s="86" t="str">
        <f t="shared" si="212"/>
        <v>96,0576923076923</v>
      </c>
      <c r="Q236" s="4" t="str">
        <f t="shared" si="213"/>
        <v>1+12,6943679651791i</v>
      </c>
      <c r="R236" s="4">
        <f t="shared" si="224"/>
        <v>12.7336945948678</v>
      </c>
      <c r="S236" s="4">
        <f t="shared" si="225"/>
        <v>1.49218357778486</v>
      </c>
      <c r="T236" s="4" t="str">
        <f t="shared" si="214"/>
        <v>1+0,149116577307792i</v>
      </c>
      <c r="U236" s="4">
        <f t="shared" si="226"/>
        <v>1.01105675094328</v>
      </c>
      <c r="V236" s="4">
        <f t="shared" si="227"/>
        <v>0.148025852766969</v>
      </c>
      <c r="W236" t="str">
        <f t="shared" si="215"/>
        <v>1-0,0707965609383649i</v>
      </c>
      <c r="X236" s="4">
        <f t="shared" si="228"/>
        <v>1.00250294415563</v>
      </c>
      <c r="Y236" s="4">
        <f t="shared" si="229"/>
        <v>-0.0706786343094673</v>
      </c>
      <c r="Z236" t="str">
        <f t="shared" si="216"/>
        <v>0,999981299039569+0,121358773985457i</v>
      </c>
      <c r="AA236" s="4">
        <f t="shared" si="230"/>
        <v>1.00731849504122</v>
      </c>
      <c r="AB236" s="4">
        <f t="shared" si="231"/>
        <v>0.120770431967969</v>
      </c>
      <c r="AC236" s="67" t="str">
        <f t="shared" si="232"/>
        <v>0,267052101967179-7,58583080359412i</v>
      </c>
      <c r="AD236" s="68">
        <f t="shared" si="233"/>
        <v>17.6054420307309</v>
      </c>
      <c r="AE236" s="31">
        <f t="shared" si="234"/>
        <v>-87.9837881328489</v>
      </c>
      <c r="AF236" s="32" t="str">
        <f t="shared" si="235"/>
        <v>236,914774604583</v>
      </c>
      <c r="AG236" s="32" t="str">
        <f t="shared" si="217"/>
        <v>1+3,13483713658425i</v>
      </c>
      <c r="AH236" s="32">
        <f t="shared" si="236"/>
        <v>3.29047167939609</v>
      </c>
      <c r="AI236" s="32">
        <f t="shared" si="237"/>
        <v>1.26200453456191</v>
      </c>
      <c r="AJ236" s="32" t="str">
        <f t="shared" si="218"/>
        <v>1+0,149116577307792i</v>
      </c>
      <c r="AK236" s="32">
        <f t="shared" si="238"/>
        <v>1.01105675094328</v>
      </c>
      <c r="AL236" s="32">
        <f t="shared" si="239"/>
        <v>0.148025852766969</v>
      </c>
      <c r="AM236" s="32" t="str">
        <f t="shared" si="219"/>
        <v>1-0,00708832490289808i</v>
      </c>
      <c r="AN236" s="32">
        <f t="shared" si="240"/>
        <v>1.00002512185941</v>
      </c>
      <c r="AO236" s="32">
        <f t="shared" si="241"/>
        <v>-0.00708820619038456</v>
      </c>
      <c r="AP236" s="30" t="str">
        <f t="shared" si="242"/>
        <v>31,6469559765529-65,5594614491565i</v>
      </c>
      <c r="AQ236" s="32">
        <f t="shared" si="243"/>
        <v>37.2424086307841</v>
      </c>
      <c r="AR236" s="31">
        <f t="shared" si="244"/>
        <v>-64.2324012334245</v>
      </c>
      <c r="AS236" t="str">
        <f t="shared" si="220"/>
        <v>-0,000272527472527473</v>
      </c>
      <c r="AT236" t="str">
        <f t="shared" si="221"/>
        <v>0,00213689380874112i</v>
      </c>
      <c r="AU236">
        <f t="shared" si="245"/>
        <v>0.00213689380874112</v>
      </c>
      <c r="AV236">
        <f t="shared" si="246"/>
        <v>1.5707963267949</v>
      </c>
      <c r="AW236" t="str">
        <f t="shared" si="222"/>
        <v>1+0,109405043555989i</v>
      </c>
      <c r="AX236">
        <f t="shared" si="247"/>
        <v>1.005966929653</v>
      </c>
      <c r="AY236">
        <f t="shared" si="248"/>
        <v>0.108971645290398</v>
      </c>
      <c r="AZ236" t="str">
        <f t="shared" si="223"/>
        <v>1+5,23049218872993i</v>
      </c>
      <c r="BA236">
        <f t="shared" si="249"/>
        <v>5.3252275572378</v>
      </c>
      <c r="BB236">
        <f t="shared" si="250"/>
        <v>1.38188937698402</v>
      </c>
      <c r="BC236" s="30" t="str">
        <f t="shared" si="251"/>
        <v>-0,645389813188082+0,198143301916817i</v>
      </c>
      <c r="BD236" s="32">
        <f t="shared" si="252"/>
        <v>-3.41236370800402</v>
      </c>
      <c r="BE236" s="31">
        <f t="shared" si="253"/>
        <v>162.93281369341</v>
      </c>
      <c r="BF236" s="30" t="str">
        <f t="shared" si="254"/>
        <v>1,33072885700636+4,94873251047561i</v>
      </c>
      <c r="BG236" s="68">
        <f t="shared" si="255"/>
        <v>14.1930783227269</v>
      </c>
      <c r="BH236" s="31">
        <f t="shared" si="256"/>
        <v>74.9490255605615</v>
      </c>
      <c r="BI236" s="30" t="str">
        <f t="shared" si="209"/>
        <v>-7,43445484225479+48,5820409301927i</v>
      </c>
      <c r="BJ236" s="68">
        <f t="shared" si="257"/>
        <v>33.8300449227801</v>
      </c>
      <c r="BK236" s="31">
        <f t="shared" si="210"/>
        <v>98.700412459986</v>
      </c>
      <c r="BL236" s="32">
        <f t="shared" si="258"/>
        <v>14.1930783227269</v>
      </c>
      <c r="BM236" s="31">
        <f t="shared" si="259"/>
        <v>74.9490255605615</v>
      </c>
      <c r="BO236">
        <f t="shared" si="260"/>
        <v>0</v>
      </c>
      <c r="BP236">
        <f t="shared" si="261"/>
        <v>0</v>
      </c>
    </row>
    <row r="237" spans="14:68">
      <c r="N237" s="7">
        <v>19</v>
      </c>
      <c r="O237" s="18">
        <f t="shared" si="262"/>
        <v>1548.81661891248</v>
      </c>
      <c r="P237" s="86" t="str">
        <f t="shared" si="212"/>
        <v>96,0576923076923</v>
      </c>
      <c r="Q237" s="4" t="str">
        <f t="shared" si="213"/>
        <v>1+12,990057780201i</v>
      </c>
      <c r="R237" s="4">
        <f t="shared" si="224"/>
        <v>13.0284918978737</v>
      </c>
      <c r="S237" s="4">
        <f t="shared" si="225"/>
        <v>1.4939659073811</v>
      </c>
      <c r="T237" s="4" t="str">
        <f t="shared" si="214"/>
        <v>1+0,152589948591954i</v>
      </c>
      <c r="U237" s="4">
        <f t="shared" si="226"/>
        <v>1.01157485754209</v>
      </c>
      <c r="V237" s="4">
        <f t="shared" si="227"/>
        <v>0.151421937241584</v>
      </c>
      <c r="W237" t="str">
        <f t="shared" si="215"/>
        <v>1-0,072445624685806i</v>
      </c>
      <c r="X237" s="4">
        <f t="shared" si="228"/>
        <v>1.00262075010251</v>
      </c>
      <c r="Y237" s="4">
        <f t="shared" si="229"/>
        <v>-0.07231928185831</v>
      </c>
      <c r="Z237" t="str">
        <f t="shared" si="216"/>
        <v>0,999980417690457+0,124185582971102i</v>
      </c>
      <c r="AA237" s="4">
        <f t="shared" si="230"/>
        <v>1.00766209355232</v>
      </c>
      <c r="AB237" s="4">
        <f t="shared" si="231"/>
        <v>0.123555421748864</v>
      </c>
      <c r="AC237" s="67" t="str">
        <f t="shared" si="232"/>
        <v>0,240230020370275-7,41703139428622i</v>
      </c>
      <c r="AD237" s="68">
        <f t="shared" si="233"/>
        <v>17.4091559039886</v>
      </c>
      <c r="AE237" s="31">
        <f t="shared" si="234"/>
        <v>-88.1448971297988</v>
      </c>
      <c r="AF237" s="32" t="str">
        <f t="shared" si="235"/>
        <v>236,914774604583</v>
      </c>
      <c r="AG237" s="32" t="str">
        <f t="shared" si="217"/>
        <v>1+3,20785687380812i</v>
      </c>
      <c r="AH237" s="32">
        <f t="shared" si="236"/>
        <v>3.36011096882796</v>
      </c>
      <c r="AI237" s="32">
        <f t="shared" si="237"/>
        <v>1.26860890835325</v>
      </c>
      <c r="AJ237" s="32" t="str">
        <f t="shared" si="218"/>
        <v>1+0,152589948591954i</v>
      </c>
      <c r="AK237" s="32">
        <f t="shared" si="238"/>
        <v>1.01157485754209</v>
      </c>
      <c r="AL237" s="32">
        <f t="shared" si="239"/>
        <v>0.151421937241584</v>
      </c>
      <c r="AM237" s="32" t="str">
        <f t="shared" si="219"/>
        <v>1-0,00725343320014474i</v>
      </c>
      <c r="AN237" s="32">
        <f t="shared" si="240"/>
        <v>1.0000263058006</v>
      </c>
      <c r="AO237" s="32">
        <f t="shared" si="241"/>
        <v>-0.00725330599757545</v>
      </c>
      <c r="AP237" s="30" t="str">
        <f t="shared" si="242"/>
        <v>30,7901200132444-64,3379303439969i</v>
      </c>
      <c r="AQ237" s="32">
        <f t="shared" si="243"/>
        <v>37.0649595149857</v>
      </c>
      <c r="AR237" s="31">
        <f t="shared" si="244"/>
        <v>-64.4256821928804</v>
      </c>
      <c r="AS237" t="str">
        <f t="shared" si="220"/>
        <v>-0,000272527472527473</v>
      </c>
      <c r="AT237" t="str">
        <f t="shared" si="221"/>
        <v>0,00218666845973291i</v>
      </c>
      <c r="AU237">
        <f t="shared" si="245"/>
        <v>0.00218666845973291</v>
      </c>
      <c r="AV237">
        <f t="shared" si="246"/>
        <v>1.5707963267949</v>
      </c>
      <c r="AW237" t="str">
        <f t="shared" si="222"/>
        <v>1+0,111953414391014i</v>
      </c>
      <c r="AX237">
        <f t="shared" si="247"/>
        <v>1.00624726930999</v>
      </c>
      <c r="AY237">
        <f t="shared" si="248"/>
        <v>0.111489175358183</v>
      </c>
      <c r="AZ237" t="str">
        <f t="shared" si="223"/>
        <v>1+5,35232600290655i</v>
      </c>
      <c r="BA237">
        <f t="shared" si="249"/>
        <v>5.44494202369406</v>
      </c>
      <c r="BB237">
        <f t="shared" si="250"/>
        <v>1.386091199345</v>
      </c>
      <c r="BC237" s="30" t="str">
        <f t="shared" si="251"/>
        <v>-0,645030253145294+0,196844703122302i</v>
      </c>
      <c r="BD237" s="32">
        <f t="shared" si="252"/>
        <v>-3.42168214450923</v>
      </c>
      <c r="BE237" s="31">
        <f t="shared" si="253"/>
        <v>163.029316533277</v>
      </c>
      <c r="BF237" s="30" t="str">
        <f t="shared" si="254"/>
        <v>1,30504771200453+4,83149764488389i</v>
      </c>
      <c r="BG237" s="68">
        <f t="shared" si="255"/>
        <v>13.9874737594794</v>
      </c>
      <c r="BH237" s="31">
        <f t="shared" si="256"/>
        <v>74.8844194034784</v>
      </c>
      <c r="BI237" s="30" t="str">
        <f t="shared" si="209"/>
        <v>-7,19597810844961+47,5607835297398i</v>
      </c>
      <c r="BJ237" s="68">
        <f t="shared" si="257"/>
        <v>33.6432773704765</v>
      </c>
      <c r="BK237" s="31">
        <f t="shared" si="210"/>
        <v>98.6036343403968</v>
      </c>
      <c r="BL237" s="32">
        <f t="shared" si="258"/>
        <v>13.9874737594794</v>
      </c>
      <c r="BM237" s="31">
        <f t="shared" si="259"/>
        <v>74.8844194034784</v>
      </c>
      <c r="BO237">
        <f t="shared" si="260"/>
        <v>0</v>
      </c>
      <c r="BP237">
        <f t="shared" si="261"/>
        <v>0</v>
      </c>
    </row>
    <row r="238" spans="14:68">
      <c r="N238" s="7">
        <v>20</v>
      </c>
      <c r="O238" s="18">
        <f t="shared" si="262"/>
        <v>1584.89319246112</v>
      </c>
      <c r="P238" s="86" t="str">
        <f t="shared" si="212"/>
        <v>96,0576923076923</v>
      </c>
      <c r="Q238" s="4" t="str">
        <f t="shared" si="213"/>
        <v>1+13,2926350958019i</v>
      </c>
      <c r="R238" s="4">
        <f t="shared" si="224"/>
        <v>13.3301968398874</v>
      </c>
      <c r="S238" s="4">
        <f t="shared" si="225"/>
        <v>1.49570813893721</v>
      </c>
      <c r="T238" s="4" t="str">
        <f t="shared" si="214"/>
        <v>1+0,156144225086628i</v>
      </c>
      <c r="U238" s="4">
        <f t="shared" si="226"/>
        <v>1.01211709748818</v>
      </c>
      <c r="V238" s="4">
        <f t="shared" si="227"/>
        <v>0.154893486196194</v>
      </c>
      <c r="W238" t="str">
        <f t="shared" si="215"/>
        <v>1-0,0741331000623872i</v>
      </c>
      <c r="X238" s="4">
        <f t="shared" si="228"/>
        <v>1.00274409323858</v>
      </c>
      <c r="Y238" s="4">
        <f t="shared" si="229"/>
        <v>-0.0739977412845689</v>
      </c>
      <c r="Z238" t="str">
        <f t="shared" si="216"/>
        <v>0,999979494804641+0,127078236796629i</v>
      </c>
      <c r="AA238" s="4">
        <f t="shared" si="230"/>
        <v>1.00802175983313</v>
      </c>
      <c r="AB238" s="4">
        <f t="shared" si="231"/>
        <v>0.126403296754495</v>
      </c>
      <c r="AC238" s="67" t="str">
        <f t="shared" si="232"/>
        <v>0,214580732332222-7,2519786769704i</v>
      </c>
      <c r="AD238" s="68">
        <f t="shared" si="233"/>
        <v>17.212931061302</v>
      </c>
      <c r="AE238" s="31">
        <f t="shared" si="234"/>
        <v>-88.3051544010381</v>
      </c>
      <c r="AF238" s="32" t="str">
        <f t="shared" si="235"/>
        <v>236,914774604583</v>
      </c>
      <c r="AG238" s="32" t="str">
        <f t="shared" si="217"/>
        <v>1+3,28257745920752i</v>
      </c>
      <c r="AH238" s="32">
        <f t="shared" si="236"/>
        <v>3.43151785303491</v>
      </c>
      <c r="AI238" s="32">
        <f t="shared" si="237"/>
        <v>1.27508933236334</v>
      </c>
      <c r="AJ238" s="32" t="str">
        <f t="shared" si="218"/>
        <v>1+0,156144225086628i</v>
      </c>
      <c r="AK238" s="32">
        <f t="shared" si="238"/>
        <v>1.01211709748818</v>
      </c>
      <c r="AL238" s="32">
        <f t="shared" si="239"/>
        <v>0.154893486196194</v>
      </c>
      <c r="AM238" s="32" t="str">
        <f t="shared" si="219"/>
        <v>1-0,00742238736368472i</v>
      </c>
      <c r="AN238" s="32">
        <f t="shared" si="240"/>
        <v>1.00002754553771</v>
      </c>
      <c r="AO238" s="32">
        <f t="shared" si="241"/>
        <v>-0.00742225106387882</v>
      </c>
      <c r="AP238" s="30" t="str">
        <f t="shared" si="242"/>
        <v>29,9651437070113-63,128504631639i</v>
      </c>
      <c r="AQ238" s="32">
        <f t="shared" si="243"/>
        <v>36.8869721325493</v>
      </c>
      <c r="AR238" s="31">
        <f t="shared" si="244"/>
        <v>-64.6077578739103</v>
      </c>
      <c r="AS238" t="str">
        <f t="shared" si="220"/>
        <v>-0,000272527472527473</v>
      </c>
      <c r="AT238" t="str">
        <f t="shared" si="221"/>
        <v>0,00223760251128605i</v>
      </c>
      <c r="AU238">
        <f t="shared" si="245"/>
        <v>0.00223760251128605</v>
      </c>
      <c r="AV238">
        <f t="shared" si="246"/>
        <v>1.5707963267949</v>
      </c>
      <c r="AW238" t="str">
        <f t="shared" si="222"/>
        <v>1+0,114561144408228i</v>
      </c>
      <c r="AX238">
        <f t="shared" si="247"/>
        <v>1.00654073728197</v>
      </c>
      <c r="AY238">
        <f t="shared" si="248"/>
        <v>0.114063877738694</v>
      </c>
      <c r="AZ238" t="str">
        <f t="shared" si="223"/>
        <v>1+5,47699769117636i</v>
      </c>
      <c r="BA238">
        <f t="shared" si="249"/>
        <v>5.56754018478099</v>
      </c>
      <c r="BB238">
        <f t="shared" si="250"/>
        <v>1.39020376121545</v>
      </c>
      <c r="BC238" s="30" t="str">
        <f t="shared" si="251"/>
        <v>-0,644654176713162+0,195646727930622i</v>
      </c>
      <c r="BD238" s="32">
        <f t="shared" si="252"/>
        <v>-3.4308129708437</v>
      </c>
      <c r="BE238" s="31">
        <f t="shared" si="253"/>
        <v>163.117429391535</v>
      </c>
      <c r="BF238" s="30" t="str">
        <f t="shared" si="254"/>
        <v>1,28049553383176+4,71700036170152i</v>
      </c>
      <c r="BG238" s="68">
        <f t="shared" si="255"/>
        <v>13.7821180904583</v>
      </c>
      <c r="BH238" s="31">
        <f t="shared" si="256"/>
        <v>74.812274990497</v>
      </c>
      <c r="BI238" s="30" t="str">
        <f t="shared" si="209"/>
        <v>-6,96626967620167+46,5586364986899i</v>
      </c>
      <c r="BJ238" s="68">
        <f t="shared" si="257"/>
        <v>33.4561591617055</v>
      </c>
      <c r="BK238" s="31">
        <f t="shared" si="210"/>
        <v>98.5096715176247</v>
      </c>
      <c r="BL238" s="32">
        <f t="shared" si="258"/>
        <v>13.7821180904583</v>
      </c>
      <c r="BM238" s="31">
        <f t="shared" si="259"/>
        <v>74.812274990497</v>
      </c>
      <c r="BO238">
        <f t="shared" si="260"/>
        <v>0</v>
      </c>
      <c r="BP238">
        <f t="shared" si="261"/>
        <v>0</v>
      </c>
    </row>
    <row r="239" spans="14:68">
      <c r="N239" s="7">
        <v>21</v>
      </c>
      <c r="O239" s="18">
        <f t="shared" si="262"/>
        <v>1621.81009735893</v>
      </c>
      <c r="P239" s="86" t="str">
        <f t="shared" si="212"/>
        <v>96,0576923076923</v>
      </c>
      <c r="Q239" s="4" t="str">
        <f t="shared" si="213"/>
        <v>1+13,6022603424792i</v>
      </c>
      <c r="R239" s="4">
        <f t="shared" si="224"/>
        <v>13.6389694047821</v>
      </c>
      <c r="S239" s="4">
        <f t="shared" si="225"/>
        <v>1.4974111538772</v>
      </c>
      <c r="T239" s="4" t="str">
        <f t="shared" si="214"/>
        <v>1+0,159781291316254i</v>
      </c>
      <c r="U239" s="4">
        <f t="shared" si="226"/>
        <v>1.01268458122689</v>
      </c>
      <c r="V239" s="4">
        <f t="shared" si="227"/>
        <v>0.158442005416698</v>
      </c>
      <c r="W239" t="str">
        <f t="shared" si="215"/>
        <v>1-0,0758598817898883i</v>
      </c>
      <c r="X239" s="4">
        <f t="shared" si="228"/>
        <v>1.00287323309837</v>
      </c>
      <c r="Y239" s="4">
        <f t="shared" si="229"/>
        <v>-0.0757148646796511</v>
      </c>
      <c r="Z239" t="str">
        <f t="shared" si="216"/>
        <v>0,999978528424556+0,130038269185384i</v>
      </c>
      <c r="AA239" s="4">
        <f t="shared" si="230"/>
        <v>1.00839823917085</v>
      </c>
      <c r="AB239" s="4">
        <f t="shared" si="231"/>
        <v>0.129315382803459</v>
      </c>
      <c r="AC239" s="67" t="str">
        <f t="shared" si="232"/>
        <v>0,190051731671927-7,09059705571977i</v>
      </c>
      <c r="AD239" s="68">
        <f t="shared" si="233"/>
        <v>17.0167750555707</v>
      </c>
      <c r="AE239" s="31">
        <f t="shared" si="234"/>
        <v>-88.4646489583173</v>
      </c>
      <c r="AF239" s="32" t="str">
        <f t="shared" si="235"/>
        <v>236,914774604583</v>
      </c>
      <c r="AG239" s="32" t="str">
        <f t="shared" si="217"/>
        <v>1+3,35903851062579i</v>
      </c>
      <c r="AH239" s="32">
        <f t="shared" si="236"/>
        <v>3.50473104757942</v>
      </c>
      <c r="AI239" s="32">
        <f t="shared" si="237"/>
        <v>1.28144706459577</v>
      </c>
      <c r="AJ239" s="32" t="str">
        <f t="shared" si="218"/>
        <v>1+0,159781291316254i</v>
      </c>
      <c r="AK239" s="32">
        <f t="shared" si="238"/>
        <v>1.01268458122689</v>
      </c>
      <c r="AL239" s="32">
        <f t="shared" si="239"/>
        <v>0.158442005416698</v>
      </c>
      <c r="AM239" s="32" t="str">
        <f t="shared" si="219"/>
        <v>1-0,00759527697525174i</v>
      </c>
      <c r="AN239" s="32">
        <f t="shared" si="240"/>
        <v>1.00002884370019</v>
      </c>
      <c r="AO239" s="32">
        <f t="shared" si="241"/>
        <v>-0.00759513092760592</v>
      </c>
      <c r="AP239" s="30" t="str">
        <f t="shared" si="242"/>
        <v>29,1711092948431-61,9317642334835i</v>
      </c>
      <c r="AQ239" s="32">
        <f t="shared" si="243"/>
        <v>36.7084834692807</v>
      </c>
      <c r="AR239" s="31">
        <f t="shared" si="244"/>
        <v>-64.7786192098009</v>
      </c>
      <c r="AS239" t="str">
        <f t="shared" si="220"/>
        <v>-0,000272527472527473</v>
      </c>
      <c r="AT239" t="str">
        <f t="shared" si="221"/>
        <v>0,00228972296930882i</v>
      </c>
      <c r="AU239">
        <f t="shared" si="245"/>
        <v>0.00228972296930882</v>
      </c>
      <c r="AV239">
        <f t="shared" si="246"/>
        <v>1.5707963267949</v>
      </c>
      <c r="AW239" t="str">
        <f t="shared" si="222"/>
        <v>1+0,117229616260603i</v>
      </c>
      <c r="AX239">
        <f t="shared" si="247"/>
        <v>1.00684794429378</v>
      </c>
      <c r="AY239">
        <f t="shared" si="248"/>
        <v>0.116696980955779</v>
      </c>
      <c r="AZ239" t="str">
        <f t="shared" si="223"/>
        <v>1+5,6045733561186i</v>
      </c>
      <c r="BA239">
        <f t="shared" si="249"/>
        <v>5.69308725597233</v>
      </c>
      <c r="BB239">
        <f t="shared" si="250"/>
        <v>1.39422868640602</v>
      </c>
      <c r="BC239" s="30" t="str">
        <f t="shared" si="251"/>
        <v>-0,644260846079056+0,194548480265132i</v>
      </c>
      <c r="BD239" s="32">
        <f t="shared" si="252"/>
        <v>-3.43977399644033</v>
      </c>
      <c r="BE239" s="31">
        <f t="shared" si="253"/>
        <v>163.197174916449</v>
      </c>
      <c r="BF239" s="30" t="str">
        <f t="shared" si="254"/>
        <v>1,25702199191696+4,60516833389221i</v>
      </c>
      <c r="BG239" s="68">
        <f t="shared" si="255"/>
        <v>13.5770010591304</v>
      </c>
      <c r="BH239" s="31">
        <f t="shared" si="256"/>
        <v>74.7325259581318</v>
      </c>
      <c r="BI239" s="30" t="str">
        <f t="shared" si="209"/>
        <v>-6,74507294359756+45,5754058051925i</v>
      </c>
      <c r="BJ239" s="68">
        <f t="shared" si="257"/>
        <v>33.2687094728404</v>
      </c>
      <c r="BK239" s="31">
        <f t="shared" si="210"/>
        <v>98.4185557066483</v>
      </c>
      <c r="BL239" s="32">
        <f t="shared" si="258"/>
        <v>13.5770010591304</v>
      </c>
      <c r="BM239" s="31">
        <f t="shared" si="259"/>
        <v>74.7325259581318</v>
      </c>
      <c r="BO239">
        <f t="shared" si="260"/>
        <v>0</v>
      </c>
      <c r="BP239">
        <f t="shared" si="261"/>
        <v>0</v>
      </c>
    </row>
    <row r="240" spans="14:68">
      <c r="N240" s="7">
        <v>22</v>
      </c>
      <c r="O240" s="18">
        <f t="shared" si="262"/>
        <v>1659.58690743756</v>
      </c>
      <c r="P240" s="86" t="str">
        <f t="shared" si="212"/>
        <v>96,0576923076923</v>
      </c>
      <c r="Q240" s="4" t="str">
        <f t="shared" si="213"/>
        <v>1+13,9190976876374i</v>
      </c>
      <c r="R240" s="4">
        <f t="shared" si="224"/>
        <v>13.9549733227259</v>
      </c>
      <c r="S240" s="4">
        <f t="shared" si="225"/>
        <v>1.49907581562653</v>
      </c>
      <c r="T240" s="4" t="str">
        <f t="shared" si="214"/>
        <v>1+0,163503075701493i</v>
      </c>
      <c r="U240" s="4">
        <f t="shared" si="226"/>
        <v>1.01327846901227</v>
      </c>
      <c r="V240" s="4">
        <f t="shared" si="227"/>
        <v>0.162069018728812</v>
      </c>
      <c r="W240" t="str">
        <f t="shared" si="215"/>
        <v>1-0,0776268854308394i</v>
      </c>
      <c r="X240" s="4">
        <f t="shared" si="228"/>
        <v>1.00300844131128</v>
      </c>
      <c r="Y240" s="4">
        <f t="shared" si="229"/>
        <v>-0.0774715219587574</v>
      </c>
      <c r="Z240" t="str">
        <f t="shared" si="216"/>
        <v>0,999977516500381+0,133067249585722i</v>
      </c>
      <c r="AA240" s="4">
        <f t="shared" si="230"/>
        <v>1.0087923108443</v>
      </c>
      <c r="AB240" s="4">
        <f t="shared" si="231"/>
        <v>0.132293027020909</v>
      </c>
      <c r="AC240" s="67" t="str">
        <f t="shared" si="232"/>
        <v>0,166592731489758-6,9328120760147i</v>
      </c>
      <c r="AD240" s="68">
        <f t="shared" si="233"/>
        <v>16.8206955511241</v>
      </c>
      <c r="AE240" s="31">
        <f t="shared" si="234"/>
        <v>-88.6234699905439</v>
      </c>
      <c r="AF240" s="32" t="str">
        <f t="shared" si="235"/>
        <v>236,914774604583</v>
      </c>
      <c r="AG240" s="32" t="str">
        <f t="shared" si="217"/>
        <v>1+3,43728056872457i</v>
      </c>
      <c r="AH240" s="32">
        <f t="shared" si="236"/>
        <v>3.57979017655106</v>
      </c>
      <c r="AI240" s="32">
        <f t="shared" si="237"/>
        <v>1.28768341936411</v>
      </c>
      <c r="AJ240" s="32" t="str">
        <f t="shared" si="218"/>
        <v>1+0,163503075701493i</v>
      </c>
      <c r="AK240" s="32">
        <f t="shared" si="238"/>
        <v>1.01327846901227</v>
      </c>
      <c r="AL240" s="32">
        <f t="shared" si="239"/>
        <v>0.162069018728812</v>
      </c>
      <c r="AM240" s="32" t="str">
        <f t="shared" si="219"/>
        <v>1-0,0077721937032065i</v>
      </c>
      <c r="AN240" s="32">
        <f t="shared" si="240"/>
        <v>1.00003020304137</v>
      </c>
      <c r="AO240" s="32">
        <f t="shared" si="241"/>
        <v>-0.00777203721058979</v>
      </c>
      <c r="AP240" s="30" t="str">
        <f t="shared" si="242"/>
        <v>28,4071034060868-60,7482377438948i</v>
      </c>
      <c r="AQ240" s="32">
        <f t="shared" si="243"/>
        <v>36.5295300928448</v>
      </c>
      <c r="AR240" s="31">
        <f t="shared" si="244"/>
        <v>-64.9382594459355</v>
      </c>
      <c r="AS240" t="str">
        <f t="shared" si="220"/>
        <v>-0,000272527472527473</v>
      </c>
      <c r="AT240" t="str">
        <f t="shared" si="221"/>
        <v>0,002343057468758i</v>
      </c>
      <c r="AU240">
        <f t="shared" si="245"/>
        <v>0.002343057468758</v>
      </c>
      <c r="AV240">
        <f t="shared" si="246"/>
        <v>1.5707963267949</v>
      </c>
      <c r="AW240" t="str">
        <f t="shared" si="222"/>
        <v>1+0,119960244807237i</v>
      </c>
      <c r="AX240">
        <f t="shared" si="247"/>
        <v>1.0071695290934</v>
      </c>
      <c r="AY240">
        <f t="shared" si="248"/>
        <v>0.119389734989446</v>
      </c>
      <c r="AZ240" t="str">
        <f t="shared" si="223"/>
        <v>1+5,73512064003961i</v>
      </c>
      <c r="BA240">
        <f t="shared" si="249"/>
        <v>5.82165000286073</v>
      </c>
      <c r="BB240">
        <f t="shared" si="250"/>
        <v>1.3981675870969</v>
      </c>
      <c r="BC240" s="30" t="str">
        <f t="shared" si="251"/>
        <v>-0,643849492453763+0,193549099105013i</v>
      </c>
      <c r="BD240" s="32">
        <f t="shared" si="252"/>
        <v>-3.44858276575928</v>
      </c>
      <c r="BE240" s="31">
        <f t="shared" si="253"/>
        <v>163.268573860561</v>
      </c>
      <c r="BF240" s="30" t="str">
        <f t="shared" si="254"/>
        <v>1,23457888596083+4,49593140951667i</v>
      </c>
      <c r="BG240" s="68">
        <f t="shared" si="255"/>
        <v>13.3721127853648</v>
      </c>
      <c r="BH240" s="31">
        <f t="shared" si="256"/>
        <v>74.6451038700176</v>
      </c>
      <c r="BI240" s="30" t="str">
        <f t="shared" si="209"/>
        <v>-6,53213242254256+44,6108913112982i</v>
      </c>
      <c r="BJ240" s="68">
        <f t="shared" si="257"/>
        <v>33.0809473270855</v>
      </c>
      <c r="BK240" s="31">
        <f t="shared" si="210"/>
        <v>98.3303144146259</v>
      </c>
      <c r="BL240" s="32">
        <f t="shared" si="258"/>
        <v>13.3721127853648</v>
      </c>
      <c r="BM240" s="31">
        <f t="shared" si="259"/>
        <v>74.6451038700176</v>
      </c>
      <c r="BO240">
        <f t="shared" si="260"/>
        <v>0</v>
      </c>
      <c r="BP240">
        <f t="shared" si="261"/>
        <v>0</v>
      </c>
    </row>
    <row r="241" spans="14:68">
      <c r="N241" s="7">
        <v>23</v>
      </c>
      <c r="O241" s="18">
        <f t="shared" si="262"/>
        <v>1698.24365246174</v>
      </c>
      <c r="P241" s="86" t="str">
        <f t="shared" si="212"/>
        <v>96,0576923076923</v>
      </c>
      <c r="Q241" s="4" t="str">
        <f t="shared" si="213"/>
        <v>1+14,2433151226306i</v>
      </c>
      <c r="R241" s="4">
        <f t="shared" si="224"/>
        <v>14.278376157062</v>
      </c>
      <c r="S241" s="4">
        <f t="shared" si="225"/>
        <v>1.50070296988666</v>
      </c>
      <c r="T241" s="4" t="str">
        <f t="shared" si="214"/>
        <v>1+0,167311551581687i</v>
      </c>
      <c r="U241" s="4">
        <f t="shared" si="226"/>
        <v>1.01389997302134</v>
      </c>
      <c r="V241" s="4">
        <f t="shared" si="227"/>
        <v>0.16577606731541</v>
      </c>
      <c r="W241" t="str">
        <f t="shared" si="215"/>
        <v>1-0,0794350478739586i</v>
      </c>
      <c r="X241" s="4">
        <f t="shared" si="228"/>
        <v>1.00315000215857</v>
      </c>
      <c r="Y241" s="4">
        <f t="shared" si="229"/>
        <v>-0.0792686011344099</v>
      </c>
      <c r="Z241" t="str">
        <f t="shared" si="216"/>
        <v>0,999976456885689+0,136166784003143i</v>
      </c>
      <c r="AA241" s="4">
        <f t="shared" si="230"/>
        <v>1.00920478961974</v>
      </c>
      <c r="AB241" s="4">
        <f t="shared" si="231"/>
        <v>0.135337597693017</v>
      </c>
      <c r="AC241" s="67" t="str">
        <f t="shared" si="232"/>
        <v>0,1441555718654-6,7785504358137i</v>
      </c>
      <c r="AD241" s="68">
        <f t="shared" si="233"/>
        <v>16.6247003361904</v>
      </c>
      <c r="AE241" s="31">
        <f t="shared" si="234"/>
        <v>-88.7817069259611</v>
      </c>
      <c r="AF241" s="32" t="str">
        <f t="shared" si="235"/>
        <v>236,914774604583</v>
      </c>
      <c r="AG241" s="32" t="str">
        <f t="shared" si="217"/>
        <v>1+3,51734511847864i</v>
      </c>
      <c r="AH241" s="32">
        <f t="shared" si="236"/>
        <v>3.65673579610088</v>
      </c>
      <c r="AI241" s="32">
        <f t="shared" si="237"/>
        <v>1.29379976216855</v>
      </c>
      <c r="AJ241" s="32" t="str">
        <f t="shared" si="218"/>
        <v>1+0,167311551581687i</v>
      </c>
      <c r="AK241" s="32">
        <f t="shared" si="238"/>
        <v>1.01389997302134</v>
      </c>
      <c r="AL241" s="32">
        <f t="shared" si="239"/>
        <v>0.16577606731541</v>
      </c>
      <c r="AM241" s="32" t="str">
        <f t="shared" si="219"/>
        <v>1-0,00795323135113978i</v>
      </c>
      <c r="AN241" s="32">
        <f t="shared" si="240"/>
        <v>1.00003162644435</v>
      </c>
      <c r="AO241" s="32">
        <f t="shared" si="241"/>
        <v>-0.00795306366656626</v>
      </c>
      <c r="AP241" s="30" t="str">
        <f t="shared" si="242"/>
        <v>27,6722191698744-59,5784044958437i</v>
      </c>
      <c r="AQ241" s="32">
        <f t="shared" si="243"/>
        <v>36.3501481721768</v>
      </c>
      <c r="AR241" s="31">
        <f t="shared" si="244"/>
        <v>-65.086673888131</v>
      </c>
      <c r="AS241" t="str">
        <f t="shared" si="220"/>
        <v>-0,000272527472527473</v>
      </c>
      <c r="AT241" t="str">
        <f t="shared" si="221"/>
        <v>0,00239763428829114i</v>
      </c>
      <c r="AU241">
        <f t="shared" si="245"/>
        <v>0.00239763428829114</v>
      </c>
      <c r="AV241">
        <f t="shared" si="246"/>
        <v>1.5707963267949</v>
      </c>
      <c r="AW241" t="str">
        <f t="shared" si="222"/>
        <v>1+0,122754477863529i</v>
      </c>
      <c r="AX241">
        <f t="shared" si="247"/>
        <v>1.00750615970105</v>
      </c>
      <c r="AY241">
        <f t="shared" si="248"/>
        <v>0.122143411289811</v>
      </c>
      <c r="AZ241" t="str">
        <f t="shared" si="223"/>
        <v>1+5,86870876083722i</v>
      </c>
      <c r="BA241">
        <f t="shared" si="249"/>
        <v>5.95329677737701</v>
      </c>
      <c r="BB241">
        <f t="shared" si="250"/>
        <v>1.40202206260802</v>
      </c>
      <c r="BC241" s="30" t="str">
        <f t="shared" si="251"/>
        <v>-0,643419314960518+0,192647756853233i</v>
      </c>
      <c r="BD241" s="32">
        <f t="shared" si="252"/>
        <v>-3.45725658424621</v>
      </c>
      <c r="BE241" s="31">
        <f t="shared" si="253"/>
        <v>163.331645009429</v>
      </c>
      <c r="BF241" s="30" t="str">
        <f t="shared" si="254"/>
        <v>1,21312005687864+4,38922152539434i</v>
      </c>
      <c r="BG241" s="68">
        <f t="shared" si="255"/>
        <v>13.1674437519442</v>
      </c>
      <c r="BH241" s="31">
        <f t="shared" si="256"/>
        <v>74.5499380834681</v>
      </c>
      <c r="BI241" s="30" t="str">
        <f t="shared" si="209"/>
        <v>-6,32719431869904+43,6648871573837i</v>
      </c>
      <c r="BJ241" s="68">
        <f t="shared" si="257"/>
        <v>32.8928915879306</v>
      </c>
      <c r="BK241" s="31">
        <f t="shared" si="210"/>
        <v>98.2449711212982</v>
      </c>
      <c r="BL241" s="32">
        <f t="shared" si="258"/>
        <v>13.1674437519442</v>
      </c>
      <c r="BM241" s="31">
        <f t="shared" si="259"/>
        <v>74.5499380834681</v>
      </c>
      <c r="BO241">
        <f t="shared" si="260"/>
        <v>0</v>
      </c>
      <c r="BP241">
        <f t="shared" si="261"/>
        <v>0</v>
      </c>
    </row>
    <row r="242" spans="14:68">
      <c r="N242" s="7">
        <v>24</v>
      </c>
      <c r="O242" s="18">
        <f t="shared" si="262"/>
        <v>1737.80082874938</v>
      </c>
      <c r="P242" s="86" t="str">
        <f t="shared" si="212"/>
        <v>96,0576923076923</v>
      </c>
      <c r="Q242" s="4" t="str">
        <f t="shared" si="213"/>
        <v>1+14,5750845518344i</v>
      </c>
      <c r="R242" s="4">
        <f t="shared" si="224"/>
        <v>14.6093493932181</v>
      </c>
      <c r="S242" s="4">
        <f t="shared" si="225"/>
        <v>1.50229344491214</v>
      </c>
      <c r="T242" s="4" t="str">
        <f t="shared" si="214"/>
        <v>1+0,171208738261161i</v>
      </c>
      <c r="U242" s="4">
        <f t="shared" si="226"/>
        <v>1.01455035954702</v>
      </c>
      <c r="V242" s="4">
        <f t="shared" si="227"/>
        <v>0.169564708952315</v>
      </c>
      <c r="W242" t="str">
        <f t="shared" si="215"/>
        <v>1-0,0812853278309084i</v>
      </c>
      <c r="X242" s="4">
        <f t="shared" si="228"/>
        <v>1.00329821315528</v>
      </c>
      <c r="Y242" s="4">
        <f t="shared" si="229"/>
        <v>-0.0811070085866076</v>
      </c>
      <c r="Z242" t="str">
        <f t="shared" si="216"/>
        <v>0,999975347332895+0,139338515851824i</v>
      </c>
      <c r="AA242" s="4">
        <f t="shared" si="230"/>
        <v>1.00963652730739</v>
      </c>
      <c r="AB242" s="4">
        <f t="shared" si="231"/>
        <v>0.138450484077184</v>
      </c>
      <c r="AC242" s="67" t="str">
        <f t="shared" si="232"/>
        <v>0,122694130901832-6,62773999392883i</v>
      </c>
      <c r="AD242" s="68">
        <f t="shared" si="233"/>
        <v>16.4287973353503</v>
      </c>
      <c r="AE242" s="31">
        <f t="shared" si="234"/>
        <v>-88.9394494964131</v>
      </c>
      <c r="AF242" s="32" t="str">
        <f t="shared" si="235"/>
        <v>236,914774604583</v>
      </c>
      <c r="AG242" s="32" t="str">
        <f t="shared" si="217"/>
        <v>1+3,59927461117213i</v>
      </c>
      <c r="AH242" s="32">
        <f t="shared" si="236"/>
        <v>3.73560941837183</v>
      </c>
      <c r="AI242" s="32">
        <f t="shared" si="237"/>
        <v>1.29979750478412</v>
      </c>
      <c r="AJ242" s="32" t="str">
        <f t="shared" si="218"/>
        <v>1+0,171208738261161i</v>
      </c>
      <c r="AK242" s="32">
        <f t="shared" si="238"/>
        <v>1.01455035954702</v>
      </c>
      <c r="AL242" s="32">
        <f t="shared" si="239"/>
        <v>0.169564708952315</v>
      </c>
      <c r="AM242" s="32" t="str">
        <f t="shared" si="219"/>
        <v>1-0,00813848590760897i</v>
      </c>
      <c r="AN242" s="32">
        <f t="shared" si="240"/>
        <v>1.00003311692807</v>
      </c>
      <c r="AO242" s="32">
        <f t="shared" si="241"/>
        <v>-0.00813830623067261</v>
      </c>
      <c r="AP242" s="30" t="str">
        <f t="shared" si="242"/>
        <v>26,965558123652-58,4226966494927i</v>
      </c>
      <c r="AQ242" s="32">
        <f t="shared" si="243"/>
        <v>36.170373499014</v>
      </c>
      <c r="AR242" s="31">
        <f t="shared" si="244"/>
        <v>-65.2238596678365</v>
      </c>
      <c r="AS242" t="str">
        <f t="shared" si="220"/>
        <v>-0,000272527472527473</v>
      </c>
      <c r="AT242" t="str">
        <f t="shared" si="221"/>
        <v>0,00245348236526039i</v>
      </c>
      <c r="AU242">
        <f t="shared" si="245"/>
        <v>0.00245348236526039</v>
      </c>
      <c r="AV242">
        <f t="shared" si="246"/>
        <v>1.5707963267949</v>
      </c>
      <c r="AW242" t="str">
        <f t="shared" si="222"/>
        <v>1+0,125613796968833i</v>
      </c>
      <c r="AX242">
        <f t="shared" si="247"/>
        <v>1.00785853471057</v>
      </c>
      <c r="AY242">
        <f t="shared" si="248"/>
        <v>0.124959302759731</v>
      </c>
      <c r="AZ242" t="str">
        <f t="shared" si="223"/>
        <v>1+6,00540854870142i</v>
      </c>
      <c r="BA242">
        <f t="shared" si="249"/>
        <v>6.08809755480446</v>
      </c>
      <c r="BB242">
        <f t="shared" si="250"/>
        <v>1.40579369827723</v>
      </c>
      <c r="BC242" s="30" t="str">
        <f t="shared" si="251"/>
        <v>-0,642969479502852+0,191843657649683i</v>
      </c>
      <c r="BD242" s="32">
        <f t="shared" si="252"/>
        <v>-3.46581254437457</v>
      </c>
      <c r="BE242" s="31">
        <f t="shared" si="253"/>
        <v>163.386405118343</v>
      </c>
      <c r="BF242" s="30" t="str">
        <f t="shared" si="254"/>
        <v>1,19260130090239+4,28497262502101i</v>
      </c>
      <c r="BG242" s="68">
        <f t="shared" si="255"/>
        <v>12.9629847909757</v>
      </c>
      <c r="BH242" s="31">
        <f t="shared" si="256"/>
        <v>74.4469556219296</v>
      </c>
      <c r="BI242" s="30" t="str">
        <f t="shared" ref="BI242:BI305" si="263">IMPRODUCT(AP242,BC242)</f>
        <v>-6,13000705627187+42,7371821568839i</v>
      </c>
      <c r="BJ242" s="68">
        <f t="shared" si="257"/>
        <v>32.7045609546394</v>
      </c>
      <c r="BK242" s="31">
        <f t="shared" ref="BK242:BK305" si="264">(180/PI())*IMARGUMENT(BI242)</f>
        <v>98.1625454505062</v>
      </c>
      <c r="BL242" s="32">
        <f t="shared" si="258"/>
        <v>12.9629847909757</v>
      </c>
      <c r="BM242" s="31">
        <f t="shared" si="259"/>
        <v>74.4469556219296</v>
      </c>
      <c r="BO242">
        <f t="shared" si="260"/>
        <v>0</v>
      </c>
      <c r="BP242">
        <f t="shared" si="261"/>
        <v>0</v>
      </c>
    </row>
    <row r="243" spans="14:68">
      <c r="N243" s="7">
        <v>25</v>
      </c>
      <c r="O243" s="18">
        <f t="shared" si="262"/>
        <v>1778.27941003892</v>
      </c>
      <c r="P243" s="86" t="str">
        <f t="shared" si="212"/>
        <v>96,0576923076923</v>
      </c>
      <c r="Q243" s="4" t="str">
        <f t="shared" si="213"/>
        <v>1+14,9145818837915i</v>
      </c>
      <c r="R243" s="4">
        <f t="shared" si="224"/>
        <v>14.9480685296904</v>
      </c>
      <c r="S243" s="4">
        <f t="shared" si="225"/>
        <v>1.50384805178955</v>
      </c>
      <c r="T243" s="4" t="str">
        <f t="shared" si="214"/>
        <v>1+0,175196702079875i</v>
      </c>
      <c r="U243" s="4">
        <f t="shared" si="226"/>
        <v>1.01523095127151</v>
      </c>
      <c r="V243" s="4">
        <f t="shared" si="227"/>
        <v>0.173436517157383</v>
      </c>
      <c r="W243" t="str">
        <f t="shared" si="215"/>
        <v>1-0,0831787063446119i</v>
      </c>
      <c r="X243" s="4">
        <f t="shared" si="228"/>
        <v>1.00345338565833</v>
      </c>
      <c r="Y243" s="4">
        <f t="shared" si="229"/>
        <v>-0.082987669328856</v>
      </c>
      <c r="Z243" t="str">
        <f t="shared" si="216"/>
        <v>0,999974185488488+0,142584126825972i</v>
      </c>
      <c r="AA243" s="4">
        <f t="shared" si="230"/>
        <v>1.01008841438069</v>
      </c>
      <c r="AB243" s="4">
        <f t="shared" si="231"/>
        <v>0.141633096164595</v>
      </c>
      <c r="AC243" s="67" t="str">
        <f t="shared" si="232"/>
        <v>0,102164239031814-6,48030977591055i</v>
      </c>
      <c r="AD243" s="68">
        <f t="shared" si="233"/>
        <v>16.2329946219784</v>
      </c>
      <c r="AE243" s="31">
        <f t="shared" si="234"/>
        <v>-89.0967878037187</v>
      </c>
      <c r="AF243" s="32" t="str">
        <f t="shared" si="235"/>
        <v>236,914774604583</v>
      </c>
      <c r="AG243" s="32" t="str">
        <f t="shared" si="217"/>
        <v>1+3,68311248690645i</v>
      </c>
      <c r="AH243" s="32">
        <f t="shared" si="236"/>
        <v>3.81645353583746</v>
      </c>
      <c r="AI243" s="32">
        <f t="shared" si="237"/>
        <v>1.30567810056206</v>
      </c>
      <c r="AJ243" s="32" t="str">
        <f t="shared" si="218"/>
        <v>1+0,175196702079875i</v>
      </c>
      <c r="AK243" s="32">
        <f t="shared" si="238"/>
        <v>1.01523095127151</v>
      </c>
      <c r="AL243" s="32">
        <f t="shared" si="239"/>
        <v>0.173436517157383</v>
      </c>
      <c r="AM243" s="32" t="str">
        <f t="shared" si="219"/>
        <v>1-0,00832805559703188i</v>
      </c>
      <c r="AN243" s="32">
        <f t="shared" si="240"/>
        <v>1.00003467765374</v>
      </c>
      <c r="AO243" s="32">
        <f t="shared" si="241"/>
        <v>-0.00832786307008644</v>
      </c>
      <c r="AP243" s="30" t="str">
        <f t="shared" si="242"/>
        <v>26,2862319314692-57,2815012904588i</v>
      </c>
      <c r="AQ243" s="32">
        <f t="shared" si="243"/>
        <v>35.990241511366</v>
      </c>
      <c r="AR243" s="31">
        <f t="shared" si="244"/>
        <v>-65.3498155245765</v>
      </c>
      <c r="AS243" t="str">
        <f t="shared" si="220"/>
        <v>-0,000272527472527473</v>
      </c>
      <c r="AT243" t="str">
        <f t="shared" si="221"/>
        <v>0,00251063131105535i</v>
      </c>
      <c r="AU243">
        <f t="shared" si="245"/>
        <v>0.00251063131105535</v>
      </c>
      <c r="AV243">
        <f t="shared" si="246"/>
        <v>1.5707963267949</v>
      </c>
      <c r="AW243" t="str">
        <f t="shared" si="222"/>
        <v>1+0,128539718171983i</v>
      </c>
      <c r="AX243">
        <f t="shared" si="247"/>
        <v>1.00822738464482</v>
      </c>
      <c r="AY243">
        <f t="shared" si="248"/>
        <v>0.127838723703459</v>
      </c>
      <c r="AZ243" t="str">
        <f t="shared" si="223"/>
        <v>1+6,14529248366907i</v>
      </c>
      <c r="BA243">
        <f t="shared" si="249"/>
        <v>6.22612397160863</v>
      </c>
      <c r="BB243">
        <f t="shared" si="250"/>
        <v>1.4094840644404</v>
      </c>
      <c r="BC243" s="30" t="str">
        <f t="shared" si="251"/>
        <v>-0,642499117612906+0,191136035624727i</v>
      </c>
      <c r="BD243" s="32">
        <f t="shared" si="252"/>
        <v>-3.47426755175502</v>
      </c>
      <c r="BE243" s="31">
        <f t="shared" si="253"/>
        <v>163.432868856833</v>
      </c>
      <c r="BF243" s="30" t="str">
        <f t="shared" si="254"/>
        <v>1,17298028675817+4,18312058051198i</v>
      </c>
      <c r="BG243" s="68">
        <f t="shared" si="255"/>
        <v>12.7587270702234</v>
      </c>
      <c r="BH243" s="31">
        <f t="shared" si="256"/>
        <v>74.3360810531143</v>
      </c>
      <c r="BI243" s="30" t="str">
        <f t="shared" si="263"/>
        <v>-5,94032175004618+41,8275601975554i</v>
      </c>
      <c r="BJ243" s="68">
        <f t="shared" si="257"/>
        <v>32.515973959611</v>
      </c>
      <c r="BK243" s="31">
        <f t="shared" si="264"/>
        <v>98.0830533322565</v>
      </c>
      <c r="BL243" s="32">
        <f t="shared" si="258"/>
        <v>12.7587270702234</v>
      </c>
      <c r="BM243" s="31">
        <f t="shared" si="259"/>
        <v>74.3360810531143</v>
      </c>
      <c r="BO243">
        <f t="shared" si="260"/>
        <v>0</v>
      </c>
      <c r="BP243">
        <f t="shared" si="261"/>
        <v>0</v>
      </c>
    </row>
    <row r="244" spans="14:68">
      <c r="N244" s="7">
        <v>26</v>
      </c>
      <c r="O244" s="18">
        <f t="shared" si="262"/>
        <v>1819.70085860998</v>
      </c>
      <c r="P244" s="86" t="str">
        <f t="shared" si="212"/>
        <v>96,0576923076923</v>
      </c>
      <c r="Q244" s="4" t="str">
        <f t="shared" si="213"/>
        <v>1+15,2619871244814i</v>
      </c>
      <c r="R244" s="4">
        <f t="shared" si="224"/>
        <v>15.2947131711528</v>
      </c>
      <c r="S244" s="4">
        <f t="shared" si="225"/>
        <v>1.50536758471769</v>
      </c>
      <c r="T244" s="4" t="str">
        <f t="shared" si="214"/>
        <v>1+0,179277557509035i</v>
      </c>
      <c r="U244" s="4">
        <f t="shared" si="226"/>
        <v>1.01594312962213</v>
      </c>
      <c r="V244" s="4">
        <f t="shared" si="227"/>
        <v>0.177393080247567</v>
      </c>
      <c r="W244" t="str">
        <f t="shared" si="215"/>
        <v>1-0,0851161873094202i</v>
      </c>
      <c r="X244" s="4">
        <f t="shared" si="228"/>
        <v>1.0036158455017</v>
      </c>
      <c r="Y244" s="4">
        <f t="shared" si="229"/>
        <v>-0.0849115272693026</v>
      </c>
      <c r="Z244" t="str">
        <f t="shared" si="216"/>
        <v>0,999972968888042+0,145905337791487i</v>
      </c>
      <c r="AA244" s="4">
        <f t="shared" si="230"/>
        <v>1.01056138166012</v>
      </c>
      <c r="AB244" s="4">
        <f t="shared" si="231"/>
        <v>0.144886864391597</v>
      </c>
      <c r="AC244" s="67" t="str">
        <f t="shared" si="232"/>
        <v>0,0825235965016138-6,33618997762846i</v>
      </c>
      <c r="AD244" s="68">
        <f t="shared" si="233"/>
        <v>16.0373004306668</v>
      </c>
      <c r="AE244" s="31">
        <f t="shared" si="234"/>
        <v>-89.2538123881788</v>
      </c>
      <c r="AF244" s="32" t="str">
        <f t="shared" si="235"/>
        <v>236,914774604583</v>
      </c>
      <c r="AG244" s="32" t="str">
        <f t="shared" si="217"/>
        <v>1+3,76890319763312i</v>
      </c>
      <c r="AH244" s="32">
        <f t="shared" si="236"/>
        <v>3.89931164606385</v>
      </c>
      <c r="AI244" s="32">
        <f t="shared" si="237"/>
        <v>1.31144303994475</v>
      </c>
      <c r="AJ244" s="32" t="str">
        <f t="shared" si="218"/>
        <v>1+0,179277557509035i</v>
      </c>
      <c r="AK244" s="32">
        <f t="shared" si="238"/>
        <v>1.01594312962213</v>
      </c>
      <c r="AL244" s="32">
        <f t="shared" si="239"/>
        <v>0.177393080247567</v>
      </c>
      <c r="AM244" s="32" t="str">
        <f t="shared" si="219"/>
        <v>1-0,00852204093176725i</v>
      </c>
      <c r="AN244" s="32">
        <f t="shared" si="240"/>
        <v>1.00003631193154</v>
      </c>
      <c r="AO244" s="32">
        <f t="shared" si="241"/>
        <v>-0.008521834635833</v>
      </c>
      <c r="AP244" s="30" t="str">
        <f t="shared" si="242"/>
        <v>25,6333639210696-56,1551625258202i</v>
      </c>
      <c r="AQ244" s="32">
        <f t="shared" si="243"/>
        <v>35.8097873187415</v>
      </c>
      <c r="AR244" s="31">
        <f t="shared" si="244"/>
        <v>-65.4645416059715</v>
      </c>
      <c r="AS244" t="str">
        <f t="shared" si="220"/>
        <v>-0,000272527472527473</v>
      </c>
      <c r="AT244" t="str">
        <f t="shared" si="221"/>
        <v>0,00256911142680358i</v>
      </c>
      <c r="AU244">
        <f t="shared" si="245"/>
        <v>0.00256911142680358</v>
      </c>
      <c r="AV244">
        <f t="shared" si="246"/>
        <v>1.5707963267949</v>
      </c>
      <c r="AW244" t="str">
        <f t="shared" si="222"/>
        <v>1+0,131533792835134i</v>
      </c>
      <c r="AX244">
        <f t="shared" si="247"/>
        <v>1.00861347336708</v>
      </c>
      <c r="AY244">
        <f t="shared" si="248"/>
        <v>0.13078300973857</v>
      </c>
      <c r="AZ244" t="str">
        <f t="shared" si="223"/>
        <v>1+6,28843473405416i</v>
      </c>
      <c r="BA244">
        <f t="shared" si="249"/>
        <v>6.36744936410638</v>
      </c>
      <c r="BB244">
        <f t="shared" si="250"/>
        <v>1.41309471550798</v>
      </c>
      <c r="BC244" s="30" t="str">
        <f t="shared" si="251"/>
        <v>-0,642007325282221+0,190524153088248i</v>
      </c>
      <c r="BD244" s="32">
        <f t="shared" si="252"/>
        <v>-3.48263835129641</v>
      </c>
      <c r="BE244" s="31">
        <f t="shared" si="253"/>
        <v>163.471048760809</v>
      </c>
      <c r="BF244" s="30" t="str">
        <f t="shared" si="254"/>
        <v>1,15421647583124+4,08360311835053i</v>
      </c>
      <c r="BG244" s="68">
        <f t="shared" si="255"/>
        <v>12.5546620793704</v>
      </c>
      <c r="BH244" s="31">
        <f t="shared" si="256"/>
        <v>74.21723637263</v>
      </c>
      <c r="BI244" s="30" t="str">
        <f t="shared" si="263"/>
        <v>-5,75789262718686+40,9358006458549i</v>
      </c>
      <c r="BJ244" s="68">
        <f t="shared" si="257"/>
        <v>32.3271489674451</v>
      </c>
      <c r="BK244" s="31">
        <f t="shared" si="264"/>
        <v>98.0065071548373</v>
      </c>
      <c r="BL244" s="32">
        <f t="shared" si="258"/>
        <v>12.5546620793704</v>
      </c>
      <c r="BM244" s="31">
        <f t="shared" si="259"/>
        <v>74.21723637263</v>
      </c>
      <c r="BO244">
        <f t="shared" si="260"/>
        <v>0</v>
      </c>
      <c r="BP244">
        <f t="shared" si="261"/>
        <v>0</v>
      </c>
    </row>
    <row r="245" spans="14:68">
      <c r="N245" s="7">
        <v>27</v>
      </c>
      <c r="O245" s="18">
        <f t="shared" si="262"/>
        <v>1862.08713666287</v>
      </c>
      <c r="P245" s="86" t="str">
        <f t="shared" si="212"/>
        <v>96,0576923076923</v>
      </c>
      <c r="Q245" s="4" t="str">
        <f t="shared" si="213"/>
        <v>1+15,617484472761i</v>
      </c>
      <c r="R245" s="4">
        <f t="shared" si="224"/>
        <v>15.6494671237372</v>
      </c>
      <c r="S245" s="4">
        <f t="shared" si="225"/>
        <v>1.50685282128867</v>
      </c>
      <c r="T245" s="4" t="str">
        <f t="shared" si="214"/>
        <v>1+0,183453468272207i</v>
      </c>
      <c r="U245" s="4">
        <f t="shared" si="226"/>
        <v>1.01668833721111</v>
      </c>
      <c r="V245" s="4">
        <f t="shared" si="227"/>
        <v>0.181436000298442</v>
      </c>
      <c r="W245" t="str">
        <f t="shared" si="215"/>
        <v>1-0,0870987980033864i</v>
      </c>
      <c r="X245" s="4">
        <f t="shared" si="228"/>
        <v>1.00378593365998</v>
      </c>
      <c r="Y245" s="4">
        <f t="shared" si="229"/>
        <v>-0.0868795454661051</v>
      </c>
      <c r="Z245" t="str">
        <f t="shared" si="216"/>
        <v>0,999971694950983+0,149303909698387i</v>
      </c>
      <c r="AA245" s="4">
        <f t="shared" si="230"/>
        <v>1.01105640206388</v>
      </c>
      <c r="AB245" s="4">
        <f t="shared" si="231"/>
        <v>0.148213239296118</v>
      </c>
      <c r="AC245" s="67" t="str">
        <f t="shared" si="232"/>
        <v>0,0637316939462012-6,19531196672652i</v>
      </c>
      <c r="AD245" s="68">
        <f t="shared" si="233"/>
        <v>15.8417231696291</v>
      </c>
      <c r="AE245" s="31">
        <f t="shared" si="234"/>
        <v>-89.4106142992393</v>
      </c>
      <c r="AF245" s="32" t="str">
        <f t="shared" si="235"/>
        <v>236,914774604583</v>
      </c>
      <c r="AG245" s="32" t="str">
        <f t="shared" si="217"/>
        <v>1+3,85669223072253i</v>
      </c>
      <c r="AH245" s="32">
        <f t="shared" si="236"/>
        <v>3.98422827690828</v>
      </c>
      <c r="AI245" s="32">
        <f t="shared" si="237"/>
        <v>1.31709384619347</v>
      </c>
      <c r="AJ245" s="32" t="str">
        <f t="shared" si="218"/>
        <v>1+0,183453468272207i</v>
      </c>
      <c r="AK245" s="32">
        <f t="shared" si="238"/>
        <v>1.01668833721111</v>
      </c>
      <c r="AL245" s="32">
        <f t="shared" si="239"/>
        <v>0.181436000298442</v>
      </c>
      <c r="AM245" s="32" t="str">
        <f t="shared" si="219"/>
        <v>1-0,00872054476540724i</v>
      </c>
      <c r="AN245" s="32">
        <f t="shared" si="240"/>
        <v>1.00003802322762</v>
      </c>
      <c r="AO245" s="32">
        <f t="shared" si="241"/>
        <v>-0.00872032371578502</v>
      </c>
      <c r="AP245" s="30" t="str">
        <f t="shared" si="242"/>
        <v>25,0060904491239-55,0439835672677i</v>
      </c>
      <c r="AQ245" s="32">
        <f t="shared" si="243"/>
        <v>35.6290457289616</v>
      </c>
      <c r="AR245" s="31">
        <f t="shared" si="244"/>
        <v>-65.5680392856056</v>
      </c>
      <c r="AS245" t="str">
        <f t="shared" si="220"/>
        <v>-0,000272527472527473</v>
      </c>
      <c r="AT245" t="str">
        <f t="shared" si="221"/>
        <v>0,00262895371943653i</v>
      </c>
      <c r="AU245">
        <f t="shared" si="245"/>
        <v>0.00262895371943653</v>
      </c>
      <c r="AV245">
        <f t="shared" si="246"/>
        <v>1.5707963267949</v>
      </c>
      <c r="AW245" t="str">
        <f t="shared" si="222"/>
        <v>1+0,134597608456302i</v>
      </c>
      <c r="AX245">
        <f t="shared" si="247"/>
        <v>1.00901759955025</v>
      </c>
      <c r="AY245">
        <f t="shared" si="248"/>
        <v>0.133793517668151</v>
      </c>
      <c r="AZ245" t="str">
        <f t="shared" si="223"/>
        <v>1+6,43491119577256i</v>
      </c>
      <c r="BA245">
        <f t="shared" si="249"/>
        <v>6.51214880799564</v>
      </c>
      <c r="BB245">
        <f t="shared" si="250"/>
        <v>1.41662718913249</v>
      </c>
      <c r="BC245" s="30" t="str">
        <f t="shared" si="251"/>
        <v>-0,641493161777212+0,190007298649077i</v>
      </c>
      <c r="BD245" s="32">
        <f t="shared" si="252"/>
        <v>-3.49094155340741</v>
      </c>
      <c r="BE245" s="31">
        <f t="shared" si="253"/>
        <v>163.500955192178</v>
      </c>
      <c r="BF245" s="30" t="str">
        <f t="shared" si="254"/>
        <v>1,13627104523104+3,98635974873664i</v>
      </c>
      <c r="BG245" s="68">
        <f t="shared" si="255"/>
        <v>12.3507816162217</v>
      </c>
      <c r="BH245" s="31">
        <f t="shared" si="256"/>
        <v>74.0903408929392</v>
      </c>
      <c r="BI245" s="30" t="str">
        <f t="shared" si="263"/>
        <v>-5,58247740139471+40,061678751392i</v>
      </c>
      <c r="BJ245" s="68">
        <f t="shared" si="257"/>
        <v>32.1381041755542</v>
      </c>
      <c r="BK245" s="31">
        <f t="shared" si="264"/>
        <v>97.9329159065728</v>
      </c>
      <c r="BL245" s="32">
        <f t="shared" si="258"/>
        <v>12.3507816162217</v>
      </c>
      <c r="BM245" s="31">
        <f t="shared" si="259"/>
        <v>74.0903408929392</v>
      </c>
      <c r="BO245">
        <f t="shared" si="260"/>
        <v>0</v>
      </c>
      <c r="BP245">
        <f t="shared" si="261"/>
        <v>0</v>
      </c>
    </row>
    <row r="246" spans="14:68">
      <c r="N246" s="7">
        <v>28</v>
      </c>
      <c r="O246" s="18">
        <f t="shared" si="262"/>
        <v>1905.46071796325</v>
      </c>
      <c r="P246" s="86" t="str">
        <f t="shared" si="212"/>
        <v>96,0576923076923</v>
      </c>
      <c r="Q246" s="4" t="str">
        <f t="shared" si="213"/>
        <v>1+15,9812624180298i</v>
      </c>
      <c r="R246" s="4">
        <f t="shared" si="224"/>
        <v>16.0125184925399</v>
      </c>
      <c r="S246" s="4">
        <f t="shared" si="225"/>
        <v>1.5083045227692</v>
      </c>
      <c r="T246" s="4" t="str">
        <f t="shared" si="214"/>
        <v>1+0,187726648492549i</v>
      </c>
      <c r="U246" s="4">
        <f t="shared" si="226"/>
        <v>1.01746808036137</v>
      </c>
      <c r="V246" s="4">
        <f t="shared" si="227"/>
        <v>0.185566892000477</v>
      </c>
      <c r="W246" t="str">
        <f t="shared" si="215"/>
        <v>1-0,0891275896329422i</v>
      </c>
      <c r="X246" s="4">
        <f t="shared" si="228"/>
        <v>1.00396400694137</v>
      </c>
      <c r="Y246" s="4">
        <f t="shared" si="229"/>
        <v>-0.0888927063761281</v>
      </c>
      <c r="Z246" t="str">
        <f t="shared" si="216"/>
        <v>0,999970360975121+0,152781644514477i</v>
      </c>
      <c r="AA246" s="4">
        <f t="shared" si="230"/>
        <v>1.01157449242716</v>
      </c>
      <c r="AB246" s="4">
        <f t="shared" si="231"/>
        <v>0.151613691115203</v>
      </c>
      <c r="AC246" s="67" t="str">
        <f t="shared" si="232"/>
        <v>0,0457497359694661-6,05760828211645i</v>
      </c>
      <c r="AD246" s="68">
        <f t="shared" si="233"/>
        <v>15.6462714330761</v>
      </c>
      <c r="AE246" s="31">
        <f t="shared" si="234"/>
        <v>-89.5672851683307</v>
      </c>
      <c r="AF246" s="32" t="str">
        <f t="shared" si="235"/>
        <v>236,914774604583</v>
      </c>
      <c r="AG246" s="32" t="str">
        <f t="shared" si="217"/>
        <v>1+3,94652613308199i</v>
      </c>
      <c r="AH246" s="32">
        <f t="shared" si="236"/>
        <v>4.07124901217048</v>
      </c>
      <c r="AI246" s="32">
        <f t="shared" si="237"/>
        <v>1.32263207132702</v>
      </c>
      <c r="AJ246" s="32" t="str">
        <f t="shared" si="218"/>
        <v>1+0,187726648492549i</v>
      </c>
      <c r="AK246" s="32">
        <f t="shared" si="238"/>
        <v>1.01746808036137</v>
      </c>
      <c r="AL246" s="32">
        <f t="shared" si="239"/>
        <v>0.185566892000477</v>
      </c>
      <c r="AM246" s="32" t="str">
        <f t="shared" si="219"/>
        <v>1-0,00892367234731184i</v>
      </c>
      <c r="AN246" s="32">
        <f t="shared" si="240"/>
        <v>1.00003981517146</v>
      </c>
      <c r="AO246" s="32">
        <f t="shared" si="241"/>
        <v>-0.00892343548888353</v>
      </c>
      <c r="AP246" s="30" t="str">
        <f t="shared" si="242"/>
        <v>24,4035621040908-53,9482287920063i</v>
      </c>
      <c r="AQ246" s="32">
        <f t="shared" si="243"/>
        <v>35.4480512763886</v>
      </c>
      <c r="AR246" s="31">
        <f t="shared" si="244"/>
        <v>-65.6603109989672</v>
      </c>
      <c r="AS246" t="str">
        <f t="shared" si="220"/>
        <v>-0,000272527472527473</v>
      </c>
      <c r="AT246" t="str">
        <f t="shared" si="221"/>
        <v>0,00269018991812982i</v>
      </c>
      <c r="AU246">
        <f t="shared" si="245"/>
        <v>0.00269018991812982</v>
      </c>
      <c r="AV246">
        <f t="shared" si="246"/>
        <v>1.5707963267949</v>
      </c>
      <c r="AW246" t="str">
        <f t="shared" si="222"/>
        <v>1+0,137732789511083i</v>
      </c>
      <c r="AX246">
        <f t="shared" si="247"/>
        <v>1.00944059820601</v>
      </c>
      <c r="AY246">
        <f t="shared" si="248"/>
        <v>0.136871625310181</v>
      </c>
      <c r="AZ246" t="str">
        <f t="shared" si="223"/>
        <v>1+6,58479953258302i</v>
      </c>
      <c r="BA246">
        <f t="shared" si="249"/>
        <v>6.66029915876949</v>
      </c>
      <c r="BB246">
        <f t="shared" si="250"/>
        <v>1.42008300546151</v>
      </c>
      <c r="BC246" s="30" t="str">
        <f t="shared" si="251"/>
        <v>-0,64095564844196+0,189584785259582i</v>
      </c>
      <c r="BD246" s="32">
        <f t="shared" si="252"/>
        <v>-3.49919366022822</v>
      </c>
      <c r="BE246" s="31">
        <f t="shared" si="253"/>
        <v>163.522596305828</v>
      </c>
      <c r="BF246" s="30" t="str">
        <f t="shared" si="254"/>
        <v>1,11910681366736+3,89133169834079i</v>
      </c>
      <c r="BG246" s="68">
        <f t="shared" si="255"/>
        <v>12.1470777728479</v>
      </c>
      <c r="BH246" s="31">
        <f t="shared" si="256"/>
        <v>73.9553111374977</v>
      </c>
      <c r="BI246" s="30" t="str">
        <f t="shared" si="263"/>
        <v>-5,41383760205385+39,2049660487485i</v>
      </c>
      <c r="BJ246" s="68">
        <f t="shared" si="257"/>
        <v>31.9488576161603</v>
      </c>
      <c r="BK246" s="31">
        <f t="shared" si="264"/>
        <v>97.8622853068612</v>
      </c>
      <c r="BL246" s="32">
        <f t="shared" si="258"/>
        <v>12.1470777728479</v>
      </c>
      <c r="BM246" s="31">
        <f t="shared" si="259"/>
        <v>73.9553111374977</v>
      </c>
      <c r="BO246">
        <f t="shared" si="260"/>
        <v>0</v>
      </c>
      <c r="BP246">
        <f t="shared" si="261"/>
        <v>0</v>
      </c>
    </row>
    <row r="247" spans="14:68">
      <c r="N247" s="7">
        <v>29</v>
      </c>
      <c r="O247" s="18">
        <f t="shared" si="262"/>
        <v>1949.84459975805</v>
      </c>
      <c r="P247" s="86" t="str">
        <f t="shared" si="212"/>
        <v>96,0576923076923</v>
      </c>
      <c r="Q247" s="4" t="str">
        <f t="shared" si="213"/>
        <v>1+16,3535138401696i</v>
      </c>
      <c r="R247" s="4">
        <f t="shared" si="224"/>
        <v>16.384059781404</v>
      </c>
      <c r="S247" s="4">
        <f t="shared" si="225"/>
        <v>1.50972343438187</v>
      </c>
      <c r="T247" s="4" t="str">
        <f t="shared" si="214"/>
        <v>1+0,192099363866777i</v>
      </c>
      <c r="U247" s="4">
        <f t="shared" si="226"/>
        <v>1.01828393171945</v>
      </c>
      <c r="V247" s="4">
        <f t="shared" si="227"/>
        <v>0.189787381406228</v>
      </c>
      <c r="W247" t="str">
        <f t="shared" si="215"/>
        <v>1-0,091203637890264i</v>
      </c>
      <c r="X247" s="4">
        <f t="shared" si="228"/>
        <v>1.00415043871146</v>
      </c>
      <c r="Y247" s="4">
        <f t="shared" si="229"/>
        <v>-0.0909520120959793</v>
      </c>
      <c r="Z247" t="str">
        <f t="shared" si="216"/>
        <v>0,999968964130913+0,156340386180793i</v>
      </c>
      <c r="AA247" s="4">
        <f t="shared" si="230"/>
        <v>1.01211671539216</v>
      </c>
      <c r="AB247" s="4">
        <f t="shared" si="231"/>
        <v>0.155089709319558</v>
      </c>
      <c r="AC247" s="67" t="str">
        <f t="shared" si="232"/>
        <v>0,0285405676430958-5,92301263166465i</v>
      </c>
      <c r="AD247" s="68">
        <f t="shared" si="233"/>
        <v>15.4509540135559</v>
      </c>
      <c r="AE247" s="31">
        <f t="shared" si="234"/>
        <v>-89.7239172839046</v>
      </c>
      <c r="AF247" s="32" t="str">
        <f t="shared" si="235"/>
        <v>236,914774604583</v>
      </c>
      <c r="AG247" s="32" t="str">
        <f t="shared" si="217"/>
        <v>1+4,03845253583564i</v>
      </c>
      <c r="AH247" s="32">
        <f t="shared" si="236"/>
        <v>4.1604205177118</v>
      </c>
      <c r="AI247" s="32">
        <f t="shared" si="237"/>
        <v>1.32805929226877</v>
      </c>
      <c r="AJ247" s="32" t="str">
        <f t="shared" si="218"/>
        <v>1+0,192099363866777i</v>
      </c>
      <c r="AK247" s="32">
        <f t="shared" si="238"/>
        <v>1.01828393171945</v>
      </c>
      <c r="AL247" s="32">
        <f t="shared" si="239"/>
        <v>0.189787381406228</v>
      </c>
      <c r="AM247" s="32" t="str">
        <f t="shared" si="219"/>
        <v>1-0,0091315313784137i</v>
      </c>
      <c r="AN247" s="32">
        <f t="shared" si="240"/>
        <v>1.00004169156356</v>
      </c>
      <c r="AO247" s="32">
        <f t="shared" si="241"/>
        <v>-0.00913127758060661</v>
      </c>
      <c r="AP247" s="30" t="str">
        <f t="shared" si="242"/>
        <v>23,824944756262-52,8681257732005i</v>
      </c>
      <c r="AQ247" s="32">
        <f t="shared" si="243"/>
        <v>35.2668382514064</v>
      </c>
      <c r="AR247" s="31">
        <f t="shared" si="244"/>
        <v>-65.7413600976462</v>
      </c>
      <c r="AS247" t="str">
        <f t="shared" si="220"/>
        <v>-0,000272527472527473</v>
      </c>
      <c r="AT247" t="str">
        <f t="shared" si="221"/>
        <v>0,00275285249112658i</v>
      </c>
      <c r="AU247">
        <f t="shared" si="245"/>
        <v>0.00275285249112658</v>
      </c>
      <c r="AV247">
        <f t="shared" si="246"/>
        <v>1.5707963267949</v>
      </c>
      <c r="AW247" t="str">
        <f t="shared" si="222"/>
        <v>1+0,14094099831397i</v>
      </c>
      <c r="AX247">
        <f t="shared" si="247"/>
        <v>1.0098833422756</v>
      </c>
      <c r="AY247">
        <f t="shared" si="248"/>
        <v>0.140018731280777</v>
      </c>
      <c r="AZ247" t="str">
        <f t="shared" si="223"/>
        <v>1+6,73817921726575i</v>
      </c>
      <c r="BA247">
        <f t="shared" si="249"/>
        <v>6.81197909303839</v>
      </c>
      <c r="BB247">
        <f t="shared" si="250"/>
        <v>1.42346366647136</v>
      </c>
      <c r="BC247" s="30" t="str">
        <f t="shared" si="251"/>
        <v>-0,640393767491273+0,189255948179996i</v>
      </c>
      <c r="BD247" s="32">
        <f t="shared" si="252"/>
        <v>-3.50741109188477</v>
      </c>
      <c r="BE247" s="31">
        <f t="shared" si="253"/>
        <v>163.535978023862</v>
      </c>
      <c r="BF247" s="30" t="str">
        <f t="shared" si="254"/>
        <v>1,10268817004849+3,79846184628101i</v>
      </c>
      <c r="BG247" s="68">
        <f t="shared" si="255"/>
        <v>11.9435429216711</v>
      </c>
      <c r="BH247" s="31">
        <f t="shared" si="256"/>
        <v>73.8120607399571</v>
      </c>
      <c r="BI247" s="30" t="str">
        <f t="shared" si="263"/>
        <v>-5,25173886102773+38,3654307542847i</v>
      </c>
      <c r="BJ247" s="68">
        <f t="shared" si="257"/>
        <v>31.7594271595216</v>
      </c>
      <c r="BK247" s="31">
        <f t="shared" si="264"/>
        <v>97.7946179262156</v>
      </c>
      <c r="BL247" s="32">
        <f t="shared" si="258"/>
        <v>11.9435429216711</v>
      </c>
      <c r="BM247" s="31">
        <f t="shared" si="259"/>
        <v>73.8120607399571</v>
      </c>
      <c r="BO247">
        <f t="shared" si="260"/>
        <v>0</v>
      </c>
      <c r="BP247">
        <f t="shared" si="261"/>
        <v>0</v>
      </c>
    </row>
    <row r="248" spans="14:68">
      <c r="N248" s="7">
        <v>30</v>
      </c>
      <c r="O248" s="18">
        <f t="shared" si="262"/>
        <v>1995.26231496888</v>
      </c>
      <c r="P248" s="86" t="str">
        <f t="shared" si="212"/>
        <v>96,0576923076923</v>
      </c>
      <c r="Q248" s="4" t="str">
        <f t="shared" si="213"/>
        <v>1+16,7344361118119i</v>
      </c>
      <c r="R248" s="4">
        <f t="shared" si="224"/>
        <v>16.7642879950302</v>
      </c>
      <c r="S248" s="4">
        <f t="shared" si="225"/>
        <v>1.51111028558583</v>
      </c>
      <c r="T248" s="4" t="str">
        <f t="shared" si="214"/>
        <v>1+0,196573932866464i</v>
      </c>
      <c r="U248" s="4">
        <f t="shared" si="226"/>
        <v>1.01913753295745</v>
      </c>
      <c r="V248" s="4">
        <f t="shared" si="227"/>
        <v>0.194099104562352</v>
      </c>
      <c r="W248" t="str">
        <f t="shared" si="215"/>
        <v>1-0,0933280435236187i</v>
      </c>
      <c r="X248" s="4">
        <f t="shared" si="228"/>
        <v>1.00434561964891</v>
      </c>
      <c r="Y248" s="4">
        <f t="shared" si="229"/>
        <v>-0.0930584845943143</v>
      </c>
      <c r="Z248" t="str">
        <f t="shared" si="216"/>
        <v>0,999967501455465+0,159982021589273i</v>
      </c>
      <c r="AA248" s="4">
        <f t="shared" si="230"/>
        <v>1.01268418137091</v>
      </c>
      <c r="AB248" s="4">
        <f t="shared" si="231"/>
        <v>0.158642802080729</v>
      </c>
      <c r="AC248" s="67" t="str">
        <f t="shared" si="232"/>
        <v>0,0120686038385261-5,79145988821657i</v>
      </c>
      <c r="AD248" s="68">
        <f t="shared" si="233"/>
        <v>15.2557799142487</v>
      </c>
      <c r="AE248" s="31">
        <f t="shared" si="234"/>
        <v>-89.8806036686778</v>
      </c>
      <c r="AF248" s="32" t="str">
        <f t="shared" si="235"/>
        <v>236,914774604583</v>
      </c>
      <c r="AG248" s="32" t="str">
        <f t="shared" si="217"/>
        <v>1+4,13252017957906i</v>
      </c>
      <c r="AH248" s="32">
        <f t="shared" si="236"/>
        <v>4.25179056805814</v>
      </c>
      <c r="AI248" s="32">
        <f t="shared" si="237"/>
        <v>1.33337710719839</v>
      </c>
      <c r="AJ248" s="32" t="str">
        <f t="shared" si="218"/>
        <v>1+0,196573932866464i</v>
      </c>
      <c r="AK248" s="32">
        <f t="shared" si="238"/>
        <v>1.01913753295745</v>
      </c>
      <c r="AL248" s="32">
        <f t="shared" si="239"/>
        <v>0.194099104562352</v>
      </c>
      <c r="AM248" s="32" t="str">
        <f t="shared" si="219"/>
        <v>1-0,00934423206832257i</v>
      </c>
      <c r="AN248" s="32">
        <f t="shared" si="240"/>
        <v>1.00004365638353</v>
      </c>
      <c r="AO248" s="32">
        <f t="shared" si="241"/>
        <v>-0.00934396011971383</v>
      </c>
      <c r="AP248" s="30" t="str">
        <f t="shared" si="242"/>
        <v>23,2694204645174-51,8038672728531i</v>
      </c>
      <c r="AQ248" s="32">
        <f t="shared" si="243"/>
        <v>35.0854407309964</v>
      </c>
      <c r="AR248" s="31">
        <f t="shared" si="244"/>
        <v>-65.8111907219372</v>
      </c>
      <c r="AS248" t="str">
        <f t="shared" si="220"/>
        <v>-0,000272527472527473</v>
      </c>
      <c r="AT248" t="str">
        <f t="shared" si="221"/>
        <v>0,00281697466295244i</v>
      </c>
      <c r="AU248">
        <f t="shared" si="245"/>
        <v>0.00281697466295244</v>
      </c>
      <c r="AV248">
        <f t="shared" si="246"/>
        <v>1.5707963267949</v>
      </c>
      <c r="AW248" t="str">
        <f t="shared" si="222"/>
        <v>1+0,144223935899739i</v>
      </c>
      <c r="AX248">
        <f t="shared" si="247"/>
        <v>1.01034674428456</v>
      </c>
      <c r="AY248">
        <f t="shared" si="248"/>
        <v>0.143236254727837</v>
      </c>
      <c r="AZ248" t="str">
        <f t="shared" si="223"/>
        <v>1+6,89513157375987i</v>
      </c>
      <c r="BA248">
        <f t="shared" si="249"/>
        <v>6.96726915078356</v>
      </c>
      <c r="BB248">
        <f t="shared" si="250"/>
        <v>1.42677065537631</v>
      </c>
      <c r="BC248" s="30" t="str">
        <f t="shared" si="251"/>
        <v>-0,639806460797455+0,189020142856983i</v>
      </c>
      <c r="BD248" s="32">
        <f t="shared" si="252"/>
        <v>-3.51561021275802</v>
      </c>
      <c r="BE248" s="31">
        <f t="shared" si="253"/>
        <v>163.541104017011</v>
      </c>
      <c r="BF248" s="30" t="str">
        <f t="shared" si="254"/>
        <v>1,08698100471249+3,70769466315191i</v>
      </c>
      <c r="BG248" s="68">
        <f t="shared" si="255"/>
        <v>11.7401697014907</v>
      </c>
      <c r="BH248" s="31">
        <f t="shared" si="256"/>
        <v>73.6605003483332</v>
      </c>
      <c r="BI248" s="30" t="str">
        <f t="shared" si="263"/>
        <v>-5,09595115975187+37,5428381558675i</v>
      </c>
      <c r="BJ248" s="68">
        <f t="shared" si="257"/>
        <v>31.5698305182384</v>
      </c>
      <c r="BK248" s="31">
        <f t="shared" si="264"/>
        <v>97.7299132950738</v>
      </c>
      <c r="BL248" s="32">
        <f t="shared" si="258"/>
        <v>11.7401697014907</v>
      </c>
      <c r="BM248" s="31">
        <f t="shared" si="259"/>
        <v>73.6605003483332</v>
      </c>
      <c r="BO248">
        <f t="shared" si="260"/>
        <v>0</v>
      </c>
      <c r="BP248">
        <f t="shared" si="261"/>
        <v>0</v>
      </c>
    </row>
    <row r="249" spans="14:68">
      <c r="N249" s="7">
        <v>31</v>
      </c>
      <c r="O249" s="18">
        <f t="shared" si="262"/>
        <v>2041.73794466953</v>
      </c>
      <c r="P249" s="86" t="str">
        <f t="shared" si="212"/>
        <v>96,0576923076923</v>
      </c>
      <c r="Q249" s="4" t="str">
        <f t="shared" si="213"/>
        <v>1+17,1242312029871i</v>
      </c>
      <c r="R249" s="4">
        <f t="shared" si="224"/>
        <v>17.1534047434717</v>
      </c>
      <c r="S249" s="4">
        <f t="shared" si="225"/>
        <v>1.51246579035661</v>
      </c>
      <c r="T249" s="4" t="str">
        <f t="shared" si="214"/>
        <v>1+0,201152727967319i</v>
      </c>
      <c r="U249" s="4">
        <f t="shared" si="226"/>
        <v>1.02003059756494</v>
      </c>
      <c r="V249" s="4">
        <f t="shared" si="227"/>
        <v>0.19850370602032</v>
      </c>
      <c r="W249" t="str">
        <f t="shared" si="215"/>
        <v>1-0,0955019329209919i</v>
      </c>
      <c r="X249" s="4">
        <f t="shared" si="228"/>
        <v>1.00454995853449</v>
      </c>
      <c r="Y249" s="4">
        <f t="shared" si="229"/>
        <v>-0.0952131659342723</v>
      </c>
      <c r="Z249" t="str">
        <f t="shared" si="216"/>
        <v>0,999965969846247+0,16370848158321i</v>
      </c>
      <c r="AA249" s="4">
        <f t="shared" si="230"/>
        <v>1.01327805058277</v>
      </c>
      <c r="AB249" s="4">
        <f t="shared" si="231"/>
        <v>0.162274495666412</v>
      </c>
      <c r="AC249" s="67" t="str">
        <f t="shared" si="232"/>
        <v>-0,00370023869338518-5,66288608409347i</v>
      </c>
      <c r="AD249" s="68">
        <f t="shared" si="233"/>
        <v>15.0607583612023</v>
      </c>
      <c r="AE249" s="31">
        <f t="shared" si="234"/>
        <v>-90.0374381590943</v>
      </c>
      <c r="AF249" s="32" t="str">
        <f t="shared" si="235"/>
        <v>236,914774604583</v>
      </c>
      <c r="AG249" s="32" t="str">
        <f t="shared" si="217"/>
        <v>1+4,22877894022204i</v>
      </c>
      <c r="AH249" s="32">
        <f t="shared" si="236"/>
        <v>4.34540807350304</v>
      </c>
      <c r="AI249" s="32">
        <f t="shared" si="237"/>
        <v>1.33858713210428</v>
      </c>
      <c r="AJ249" s="32" t="str">
        <f t="shared" si="218"/>
        <v>1+0,201152727967319i</v>
      </c>
      <c r="AK249" s="32">
        <f t="shared" si="238"/>
        <v>1.02003059756494</v>
      </c>
      <c r="AL249" s="32">
        <f t="shared" si="239"/>
        <v>0.19850370602032</v>
      </c>
      <c r="AM249" s="32" t="str">
        <f t="shared" si="219"/>
        <v>1-0,00956188719375955i</v>
      </c>
      <c r="AN249" s="32">
        <f t="shared" si="240"/>
        <v>1.00004571379848</v>
      </c>
      <c r="AO249" s="32">
        <f t="shared" si="241"/>
        <v>-0.00956159579629466</v>
      </c>
      <c r="AP249" s="30" t="str">
        <f t="shared" si="242"/>
        <v>22,7361882492117-50,75561319102i</v>
      </c>
      <c r="AQ249" s="32">
        <f t="shared" si="243"/>
        <v>34.9038926102521</v>
      </c>
      <c r="AR249" s="31">
        <f t="shared" si="244"/>
        <v>-65.8698076919639</v>
      </c>
      <c r="AS249" t="str">
        <f t="shared" si="220"/>
        <v>-0,000272527472527473</v>
      </c>
      <c r="AT249" t="str">
        <f t="shared" si="221"/>
        <v>0,00288259043203168i</v>
      </c>
      <c r="AU249">
        <f t="shared" si="245"/>
        <v>0.00288259043203168</v>
      </c>
      <c r="AV249">
        <f t="shared" si="246"/>
        <v>1.5707963267949</v>
      </c>
      <c r="AW249" t="str">
        <f t="shared" si="222"/>
        <v>1+0,147583342925352i</v>
      </c>
      <c r="AX249">
        <f t="shared" si="247"/>
        <v>1.01083175806314</v>
      </c>
      <c r="AY249">
        <f t="shared" si="248"/>
        <v>0.14652563501141</v>
      </c>
      <c r="AZ249" t="str">
        <f t="shared" si="223"/>
        <v>1+7,05573982028222i</v>
      </c>
      <c r="BA249">
        <f t="shared" si="249"/>
        <v>7.12625177856608</v>
      </c>
      <c r="BB249">
        <f t="shared" si="250"/>
        <v>1.43000543610877</v>
      </c>
      <c r="BC249" s="30" t="str">
        <f t="shared" si="251"/>
        <v>-0,639192628674513+0,188876742710735i</v>
      </c>
      <c r="BD249" s="32">
        <f t="shared" si="252"/>
        <v>-3.52380735776395</v>
      </c>
      <c r="BE249" s="31">
        <f t="shared" si="253"/>
        <v>163.537975693169</v>
      </c>
      <c r="BF249" s="30" t="str">
        <f t="shared" si="254"/>
        <v>1,07195264320267+3,61897615294437i</v>
      </c>
      <c r="BG249" s="68">
        <f t="shared" si="255"/>
        <v>11.5369510034383</v>
      </c>
      <c r="BH249" s="31">
        <f t="shared" si="256"/>
        <v>73.5005375340749</v>
      </c>
      <c r="BI249" s="30" t="str">
        <f t="shared" si="263"/>
        <v>-4,94624903924633+36,7369509937241i</v>
      </c>
      <c r="BJ249" s="68">
        <f t="shared" si="257"/>
        <v>31.3800852524882</v>
      </c>
      <c r="BK249" s="31">
        <f t="shared" si="264"/>
        <v>97.6681680012052</v>
      </c>
      <c r="BL249" s="32">
        <f t="shared" si="258"/>
        <v>11.5369510034383</v>
      </c>
      <c r="BM249" s="31">
        <f t="shared" si="259"/>
        <v>73.5005375340749</v>
      </c>
      <c r="BO249">
        <f t="shared" si="260"/>
        <v>0</v>
      </c>
      <c r="BP249">
        <f t="shared" si="261"/>
        <v>0</v>
      </c>
    </row>
    <row r="250" spans="14:68">
      <c r="N250" s="7">
        <v>32</v>
      </c>
      <c r="O250" s="18">
        <f t="shared" si="262"/>
        <v>2089.29613085404</v>
      </c>
      <c r="P250" s="86" t="str">
        <f t="shared" si="212"/>
        <v>96,0576923076923</v>
      </c>
      <c r="Q250" s="4" t="str">
        <f t="shared" si="213"/>
        <v>1+17,5231057882122i</v>
      </c>
      <c r="R250" s="4">
        <f t="shared" si="224"/>
        <v>17.5516163490681</v>
      </c>
      <c r="S250" s="4">
        <f t="shared" si="225"/>
        <v>1.51379064746477</v>
      </c>
      <c r="T250" s="4" t="str">
        <f t="shared" si="214"/>
        <v>1+0,205838176907116i</v>
      </c>
      <c r="U250" s="4">
        <f t="shared" si="226"/>
        <v>1.02096491373232</v>
      </c>
      <c r="V250" s="4">
        <f t="shared" si="227"/>
        <v>0.203002837219504</v>
      </c>
      <c r="W250" t="str">
        <f t="shared" si="215"/>
        <v>1-0,0977264587073183i</v>
      </c>
      <c r="X250" s="4">
        <f t="shared" si="228"/>
        <v>1.00476388307476</v>
      </c>
      <c r="Y250" s="4">
        <f t="shared" si="229"/>
        <v>-0.0974171184848256</v>
      </c>
      <c r="Z250" t="str">
        <f t="shared" si="216"/>
        <v>0,999964366054511+0,167521741981023i</v>
      </c>
      <c r="AA250" s="4">
        <f t="shared" si="230"/>
        <v>1.01389953516863</v>
      </c>
      <c r="AB250" s="4">
        <f t="shared" si="231"/>
        <v>0.16598633375918</v>
      </c>
      <c r="AC250" s="67" t="str">
        <f t="shared" si="232"/>
        <v>-0,0187986065789831-5,5372284041862i</v>
      </c>
      <c r="AD250" s="68">
        <f t="shared" si="233"/>
        <v>14.8658988154929</v>
      </c>
      <c r="AE250" s="31">
        <f t="shared" si="234"/>
        <v>-90.1945154870058</v>
      </c>
      <c r="AF250" s="32" t="str">
        <f t="shared" si="235"/>
        <v>236,914774604583</v>
      </c>
      <c r="AG250" s="32" t="str">
        <f t="shared" si="217"/>
        <v>1+4,32727985543367i</v>
      </c>
      <c r="AH250" s="32">
        <f t="shared" si="236"/>
        <v>4.44132310772838</v>
      </c>
      <c r="AI250" s="32">
        <f t="shared" si="237"/>
        <v>1.34369099753201</v>
      </c>
      <c r="AJ250" s="32" t="str">
        <f t="shared" si="218"/>
        <v>1+0,205838176907116i</v>
      </c>
      <c r="AK250" s="32">
        <f t="shared" si="238"/>
        <v>1.02096491373232</v>
      </c>
      <c r="AL250" s="32">
        <f t="shared" si="239"/>
        <v>0.203002837219504</v>
      </c>
      <c r="AM250" s="32" t="str">
        <f t="shared" si="219"/>
        <v>1-0,00978461215835329i</v>
      </c>
      <c r="AN250" s="32">
        <f t="shared" si="240"/>
        <v>1.00004786817186</v>
      </c>
      <c r="AO250" s="32">
        <f t="shared" si="241"/>
        <v>-0.00978429992115135</v>
      </c>
      <c r="AP250" s="30" t="str">
        <f t="shared" si="242"/>
        <v>22,2244647404375-49,723492466213i</v>
      </c>
      <c r="AQ250" s="32">
        <f t="shared" si="243"/>
        <v>34.7222276346819</v>
      </c>
      <c r="AR250" s="31">
        <f t="shared" si="244"/>
        <v>-65.9172164174207</v>
      </c>
      <c r="AS250" t="str">
        <f t="shared" si="220"/>
        <v>-0,000272527472527473</v>
      </c>
      <c r="AT250" t="str">
        <f t="shared" si="221"/>
        <v>0,00294973458871357i</v>
      </c>
      <c r="AU250">
        <f t="shared" si="245"/>
        <v>0.00294973458871357</v>
      </c>
      <c r="AV250">
        <f t="shared" si="246"/>
        <v>1.5707963267949</v>
      </c>
      <c r="AW250" t="str">
        <f t="shared" si="222"/>
        <v>1+0,151021000592881i</v>
      </c>
      <c r="AX250">
        <f t="shared" si="247"/>
        <v>1.01133938053458</v>
      </c>
      <c r="AY250">
        <f t="shared" si="248"/>
        <v>0.149888331326946</v>
      </c>
      <c r="AZ250" t="str">
        <f t="shared" si="223"/>
        <v>1+7,22008911345111i</v>
      </c>
      <c r="BA250">
        <f t="shared" si="249"/>
        <v>7.28901137371696</v>
      </c>
      <c r="BB250">
        <f t="shared" si="250"/>
        <v>1.43316945286597</v>
      </c>
      <c r="BC250" s="30" t="str">
        <f t="shared" si="251"/>
        <v>-0,63855112866424+0,188825136824873i</v>
      </c>
      <c r="BD250" s="32">
        <f t="shared" si="252"/>
        <v>-3.53201885863748</v>
      </c>
      <c r="BE250" s="31">
        <f t="shared" si="253"/>
        <v>163.526592193001</v>
      </c>
      <c r="BF250" s="30" t="str">
        <f t="shared" si="254"/>
        <v>1,05757178249936+3,53225379770539i</v>
      </c>
      <c r="BG250" s="68">
        <f t="shared" si="255"/>
        <v>11.3338799568554</v>
      </c>
      <c r="BH250" s="31">
        <f t="shared" si="256"/>
        <v>73.3320767059948</v>
      </c>
      <c r="BI250" s="30" t="str">
        <f t="shared" si="263"/>
        <v>-4,80241177562176+35,9475298309008i</v>
      </c>
      <c r="BJ250" s="68">
        <f t="shared" si="257"/>
        <v>31.1902087760445</v>
      </c>
      <c r="BK250" s="31">
        <f t="shared" si="264"/>
        <v>97.60937577558</v>
      </c>
      <c r="BL250" s="32">
        <f t="shared" si="258"/>
        <v>11.3338799568554</v>
      </c>
      <c r="BM250" s="31">
        <f t="shared" si="259"/>
        <v>73.3320767059948</v>
      </c>
      <c r="BO250">
        <f t="shared" si="260"/>
        <v>0</v>
      </c>
      <c r="BP250">
        <f t="shared" si="261"/>
        <v>0</v>
      </c>
    </row>
    <row r="251" spans="14:68">
      <c r="N251" s="7">
        <v>33</v>
      </c>
      <c r="O251" s="18">
        <f t="shared" si="262"/>
        <v>2137.96208950223</v>
      </c>
      <c r="P251" s="86" t="str">
        <f t="shared" si="212"/>
        <v>96,0576923076923</v>
      </c>
      <c r="Q251" s="4" t="str">
        <f t="shared" si="213"/>
        <v>1+17,9312713560718i</v>
      </c>
      <c r="R251" s="4">
        <f t="shared" si="224"/>
        <v>17.9591339558755</v>
      </c>
      <c r="S251" s="4">
        <f t="shared" si="225"/>
        <v>1.51508554075294</v>
      </c>
      <c r="T251" s="4" t="str">
        <f t="shared" si="214"/>
        <v>1+0,210632763972897i</v>
      </c>
      <c r="U251" s="4">
        <f t="shared" si="226"/>
        <v>1.02194234732634</v>
      </c>
      <c r="V251" s="4">
        <f t="shared" si="227"/>
        <v>0.207598154736201</v>
      </c>
      <c r="W251" t="str">
        <f t="shared" si="215"/>
        <v>1-0,100002800355613i</v>
      </c>
      <c r="X251" s="4">
        <f t="shared" si="228"/>
        <v>1.00498784076175</v>
      </c>
      <c r="Y251" s="4">
        <f t="shared" si="229"/>
        <v>-0.0996714251197131</v>
      </c>
      <c r="Z251" t="str">
        <f t="shared" si="216"/>
        <v>0,999962686678399+0,171423824623845i</v>
      </c>
      <c r="AA251" s="4">
        <f t="shared" si="230"/>
        <v>1.01454990138374</v>
      </c>
      <c r="AB251" s="4">
        <f t="shared" si="231"/>
        <v>0.169779876693638</v>
      </c>
      <c r="AC251" s="67" t="str">
        <f t="shared" si="232"/>
        <v>-0,0332577724972955-5,41442517776375i</v>
      </c>
      <c r="AD251" s="68">
        <f t="shared" si="233"/>
        <v>14.6712109852948</v>
      </c>
      <c r="AE251" s="31">
        <f t="shared" si="234"/>
        <v>-90.3519313635621</v>
      </c>
      <c r="AF251" s="32" t="str">
        <f t="shared" si="235"/>
        <v>236,914774604583</v>
      </c>
      <c r="AG251" s="32" t="str">
        <f t="shared" si="217"/>
        <v>1+4,42807515170294i</v>
      </c>
      <c r="AH251" s="32">
        <f t="shared" si="236"/>
        <v>4.53958693595893</v>
      </c>
      <c r="AI251" s="32">
        <f t="shared" si="237"/>
        <v>1.34869034552337</v>
      </c>
      <c r="AJ251" s="32" t="str">
        <f t="shared" si="218"/>
        <v>1+0,210632763972897i</v>
      </c>
      <c r="AK251" s="32">
        <f t="shared" si="238"/>
        <v>1.02194234732634</v>
      </c>
      <c r="AL251" s="32">
        <f t="shared" si="239"/>
        <v>0.207598154736201</v>
      </c>
      <c r="AM251" s="32" t="str">
        <f t="shared" si="219"/>
        <v>1-0,010012525053828i</v>
      </c>
      <c r="AN251" s="32">
        <f t="shared" si="240"/>
        <v>1.00005012407277</v>
      </c>
      <c r="AO251" s="32">
        <f t="shared" si="241"/>
        <v>-0.010012190486544</v>
      </c>
      <c r="AP251" s="30" t="str">
        <f t="shared" si="242"/>
        <v>21,7334847106982-48,7076049227298i</v>
      </c>
      <c r="AQ251" s="32">
        <f t="shared" si="243"/>
        <v>34.5404794331548</v>
      </c>
      <c r="AR251" s="31">
        <f t="shared" si="244"/>
        <v>-65.9534228260017</v>
      </c>
      <c r="AS251" t="str">
        <f t="shared" si="220"/>
        <v>-0,000272527472527473</v>
      </c>
      <c r="AT251" t="str">
        <f t="shared" si="221"/>
        <v>0,00301844273371874i</v>
      </c>
      <c r="AU251">
        <f t="shared" si="245"/>
        <v>0.00301844273371874</v>
      </c>
      <c r="AV251">
        <f t="shared" si="246"/>
        <v>1.5707963267949</v>
      </c>
      <c r="AW251" t="str">
        <f t="shared" si="222"/>
        <v>1+0,154538731593922i</v>
      </c>
      <c r="AX251">
        <f t="shared" si="247"/>
        <v>1.0118706535732</v>
      </c>
      <c r="AY251">
        <f t="shared" si="248"/>
        <v>0.153325822267393</v>
      </c>
      <c r="AZ251" t="str">
        <f t="shared" si="223"/>
        <v>1+7,38826659343706i</v>
      </c>
      <c r="BA251">
        <f t="shared" si="249"/>
        <v>7.45563432953213</v>
      </c>
      <c r="BB251">
        <f t="shared" si="250"/>
        <v>1.43626412971875</v>
      </c>
      <c r="BC251" s="30" t="str">
        <f t="shared" si="251"/>
        <v>-0,637880774328802+0,188864727533236i</v>
      </c>
      <c r="BD251" s="32">
        <f t="shared" si="252"/>
        <v>-3.54026107021835</v>
      </c>
      <c r="BE251" s="31">
        <f t="shared" si="253"/>
        <v>163.50695039262</v>
      </c>
      <c r="BF251" s="30" t="str">
        <f t="shared" si="254"/>
        <v>1,04380842962047+3,44747650479624i</v>
      </c>
      <c r="BG251" s="68">
        <f t="shared" si="255"/>
        <v>11.1309499150764</v>
      </c>
      <c r="BH251" s="31">
        <f t="shared" si="256"/>
        <v>73.155019029058</v>
      </c>
      <c r="BI251" s="30" t="str">
        <f t="shared" si="263"/>
        <v>-4,66422352359548+35,174333412046i</v>
      </c>
      <c r="BJ251" s="68">
        <f t="shared" si="257"/>
        <v>31.0002183629364</v>
      </c>
      <c r="BK251" s="31">
        <f t="shared" si="264"/>
        <v>97.5535275666185</v>
      </c>
      <c r="BL251" s="32">
        <f t="shared" si="258"/>
        <v>11.1309499150764</v>
      </c>
      <c r="BM251" s="31">
        <f t="shared" si="259"/>
        <v>73.155019029058</v>
      </c>
      <c r="BO251">
        <f t="shared" si="260"/>
        <v>0</v>
      </c>
      <c r="BP251">
        <f t="shared" si="261"/>
        <v>0</v>
      </c>
    </row>
    <row r="252" spans="14:68">
      <c r="N252" s="7">
        <v>34</v>
      </c>
      <c r="O252" s="18">
        <f t="shared" si="262"/>
        <v>2187.76162394955</v>
      </c>
      <c r="P252" s="86" t="str">
        <f t="shared" si="212"/>
        <v>96,0576923076923</v>
      </c>
      <c r="Q252" s="4" t="str">
        <f t="shared" si="213"/>
        <v>1+18,3489443213529i</v>
      </c>
      <c r="R252" s="4">
        <f t="shared" si="224"/>
        <v>18.376173641651</v>
      </c>
      <c r="S252" s="4">
        <f t="shared" si="225"/>
        <v>1.51635113941117</v>
      </c>
      <c r="T252" s="4" t="str">
        <f t="shared" si="214"/>
        <v>1+0,215539031318192i</v>
      </c>
      <c r="U252" s="4">
        <f t="shared" si="226"/>
        <v>1.0229648449588</v>
      </c>
      <c r="V252" s="4">
        <f t="shared" si="227"/>
        <v>0.212291318392161</v>
      </c>
      <c r="W252" t="str">
        <f t="shared" si="215"/>
        <v>1-0,10233216481235i</v>
      </c>
      <c r="X252" s="4">
        <f t="shared" si="228"/>
        <v>1.00522229977015</v>
      </c>
      <c r="Y252" s="4">
        <f t="shared" si="229"/>
        <v>-0.101977189402573</v>
      </c>
      <c r="Z252" t="str">
        <f t="shared" si="216"/>
        <v>0,999960928155729+0,175416798447546i</v>
      </c>
      <c r="AA252" s="4">
        <f t="shared" si="230"/>
        <v>1.01523047187112</v>
      </c>
      <c r="AB252" s="4">
        <f t="shared" si="231"/>
        <v>0.173656700606959</v>
      </c>
      <c r="AC252" s="67" t="str">
        <f t="shared" si="232"/>
        <v>-0,0471076953558541-5,29441586910479i</v>
      </c>
      <c r="AD252" s="68">
        <f t="shared" si="233"/>
        <v>14.4767048378359</v>
      </c>
      <c r="AE252" s="31">
        <f t="shared" si="234"/>
        <v>-90.509782565294</v>
      </c>
      <c r="AF252" s="32" t="str">
        <f t="shared" si="235"/>
        <v>236,914774604583</v>
      </c>
      <c r="AG252" s="32" t="str">
        <f t="shared" si="217"/>
        <v>1+4,53121827203016i</v>
      </c>
      <c r="AH252" s="32">
        <f t="shared" si="236"/>
        <v>4.64025204366961</v>
      </c>
      <c r="AI252" s="32">
        <f t="shared" si="237"/>
        <v>1.35358682674075</v>
      </c>
      <c r="AJ252" s="32" t="str">
        <f t="shared" si="218"/>
        <v>1+0,215539031318192i</v>
      </c>
      <c r="AK252" s="32">
        <f t="shared" si="238"/>
        <v>1.0229648449588</v>
      </c>
      <c r="AL252" s="32">
        <f t="shared" si="239"/>
        <v>0.212291318392161</v>
      </c>
      <c r="AM252" s="32" t="str">
        <f t="shared" si="219"/>
        <v>1-0,0102457467226176i</v>
      </c>
      <c r="AN252" s="32">
        <f t="shared" si="240"/>
        <v>1.00005248628555</v>
      </c>
      <c r="AO252" s="32">
        <f t="shared" si="241"/>
        <v>-0.01024538822833</v>
      </c>
      <c r="AP252" s="30" t="str">
        <f t="shared" si="242"/>
        <v>21,2625015007391-47,7080230614227i</v>
      </c>
      <c r="AQ252" s="32">
        <f t="shared" si="243"/>
        <v>34.3586815513419</v>
      </c>
      <c r="AR252" s="31">
        <f t="shared" si="244"/>
        <v>-65.9784333105681</v>
      </c>
      <c r="AS252" t="str">
        <f t="shared" si="220"/>
        <v>-0,000272527472527473</v>
      </c>
      <c r="AT252" t="str">
        <f t="shared" si="221"/>
        <v>0,00308875129701515i</v>
      </c>
      <c r="AU252">
        <f t="shared" si="245"/>
        <v>0.00308875129701515</v>
      </c>
      <c r="AV252">
        <f t="shared" si="246"/>
        <v>1.5707963267949</v>
      </c>
      <c r="AW252" t="str">
        <f t="shared" si="222"/>
        <v>1+0,158138401076017i</v>
      </c>
      <c r="AX252">
        <f t="shared" si="247"/>
        <v>1.01242666593432</v>
      </c>
      <c r="AY252">
        <f t="shared" si="248"/>
        <v>0.156839605319878</v>
      </c>
      <c r="AZ252" t="str">
        <f t="shared" si="223"/>
        <v>1+7,56036143016615i</v>
      </c>
      <c r="BA252">
        <f t="shared" si="249"/>
        <v>7.6262090814994</v>
      </c>
      <c r="BB252">
        <f t="shared" si="250"/>
        <v>1.43929087027853</v>
      </c>
      <c r="BC252" s="30" t="str">
        <f t="shared" si="251"/>
        <v>-0,637180334055406+0,188994927897663i</v>
      </c>
      <c r="BD252" s="32">
        <f t="shared" si="252"/>
        <v>-3.54855039673166</v>
      </c>
      <c r="BE252" s="31">
        <f t="shared" si="253"/>
        <v>163.479044913344</v>
      </c>
      <c r="BF252" s="30" t="str">
        <f t="shared" si="254"/>
        <v>1,03063384250513+3,36459455661723i</v>
      </c>
      <c r="BG252" s="68">
        <f t="shared" si="255"/>
        <v>10.9281544411042</v>
      </c>
      <c r="BH252" s="31">
        <f t="shared" si="256"/>
        <v>72.9692623480504</v>
      </c>
      <c r="BI252" s="30" t="str">
        <f t="shared" si="263"/>
        <v>-4,53147343046088+34,4171190094565i</v>
      </c>
      <c r="BJ252" s="68">
        <f t="shared" si="257"/>
        <v>30.8101311546103</v>
      </c>
      <c r="BK252" s="31">
        <f t="shared" si="264"/>
        <v>97.5006116027763</v>
      </c>
      <c r="BL252" s="32">
        <f t="shared" si="258"/>
        <v>10.9281544411042</v>
      </c>
      <c r="BM252" s="31">
        <f t="shared" si="259"/>
        <v>72.9692623480504</v>
      </c>
      <c r="BO252">
        <f t="shared" si="260"/>
        <v>0</v>
      </c>
      <c r="BP252">
        <f t="shared" si="261"/>
        <v>0</v>
      </c>
    </row>
    <row r="253" spans="14:68">
      <c r="N253" s="7">
        <v>35</v>
      </c>
      <c r="O253" s="18">
        <f t="shared" si="262"/>
        <v>2238.72113856834</v>
      </c>
      <c r="P253" s="86" t="str">
        <f t="shared" si="212"/>
        <v>96,0576923076923</v>
      </c>
      <c r="Q253" s="4" t="str">
        <f t="shared" si="213"/>
        <v>1+18,7763461397901i</v>
      </c>
      <c r="R253" s="4">
        <f t="shared" si="224"/>
        <v>18.8029565324502</v>
      </c>
      <c r="S253" s="4">
        <f t="shared" si="225"/>
        <v>1.51758809825016</v>
      </c>
      <c r="T253" s="4" t="str">
        <f t="shared" si="214"/>
        <v>1+0,220559580310887i</v>
      </c>
      <c r="U253" s="4">
        <f t="shared" si="226"/>
        <v>1.02403443714892</v>
      </c>
      <c r="V253" s="4">
        <f t="shared" si="227"/>
        <v>0.217083989216015</v>
      </c>
      <c r="W253" t="str">
        <f t="shared" si="215"/>
        <v>1-0,104715787137397i</v>
      </c>
      <c r="X253" s="4">
        <f t="shared" si="228"/>
        <v>1.00546774989345</v>
      </c>
      <c r="Y253" s="4">
        <f t="shared" si="229"/>
        <v>-0.104335535756747</v>
      </c>
      <c r="Z253" t="str">
        <f t="shared" si="216"/>
        <v>0,999959086756439+0,179502780579698i</v>
      </c>
      <c r="AA253" s="4">
        <f t="shared" si="230"/>
        <v>1.01594262801726</v>
      </c>
      <c r="AB253" s="4">
        <f t="shared" si="231"/>
        <v>0.177618396497395</v>
      </c>
      <c r="AC253" s="67" t="str">
        <f t="shared" si="232"/>
        <v>-0,0603770780461364-5,1771410670545i</v>
      </c>
      <c r="AD253" s="68">
        <f t="shared" si="233"/>
        <v>14.2823906112189</v>
      </c>
      <c r="AE253" s="31">
        <f t="shared" si="234"/>
        <v>-90.6681670223576</v>
      </c>
      <c r="AF253" s="32" t="str">
        <f t="shared" si="235"/>
        <v>236,914774604583</v>
      </c>
      <c r="AG253" s="32" t="str">
        <f t="shared" si="217"/>
        <v>1+4,63676390426295i</v>
      </c>
      <c r="AH253" s="32">
        <f t="shared" si="236"/>
        <v>4.74337216586215</v>
      </c>
      <c r="AI253" s="32">
        <f t="shared" si="237"/>
        <v>1.35838209777062</v>
      </c>
      <c r="AJ253" s="32" t="str">
        <f t="shared" si="218"/>
        <v>1+0,220559580310887i</v>
      </c>
      <c r="AK253" s="32">
        <f t="shared" si="238"/>
        <v>1.02403443714892</v>
      </c>
      <c r="AL253" s="32">
        <f t="shared" si="239"/>
        <v>0.217083989216015</v>
      </c>
      <c r="AM253" s="32" t="str">
        <f t="shared" si="219"/>
        <v>1-0,0104844008219381i</v>
      </c>
      <c r="AN253" s="32">
        <f t="shared" si="240"/>
        <v>1.00005495982001</v>
      </c>
      <c r="AO253" s="32">
        <f t="shared" si="241"/>
        <v>-0.0104840166895283</v>
      </c>
      <c r="AP253" s="30" t="str">
        <f t="shared" si="242"/>
        <v>20,810787346992-46,7247937911832i</v>
      </c>
      <c r="AQ253" s="32">
        <f t="shared" si="243"/>
        <v>34.1768674855152</v>
      </c>
      <c r="AR253" s="31">
        <f t="shared" si="244"/>
        <v>-65.9922546950976</v>
      </c>
      <c r="AS253" t="str">
        <f t="shared" si="220"/>
        <v>-0,000272527472527473</v>
      </c>
      <c r="AT253" t="str">
        <f t="shared" si="221"/>
        <v>0,0031606975571337i</v>
      </c>
      <c r="AU253">
        <f t="shared" si="245"/>
        <v>0.0031606975571337</v>
      </c>
      <c r="AV253">
        <f t="shared" si="246"/>
        <v>1.5707963267949</v>
      </c>
      <c r="AW253" t="str">
        <f t="shared" si="222"/>
        <v>1+0,16182191763157i</v>
      </c>
      <c r="AX253">
        <f t="shared" si="247"/>
        <v>1.01300855525803</v>
      </c>
      <c r="AY253">
        <f t="shared" si="248"/>
        <v>0.160431196292541</v>
      </c>
      <c r="AZ253" t="str">
        <f t="shared" si="223"/>
        <v>1+7,73646487059869i</v>
      </c>
      <c r="BA253">
        <f t="shared" si="249"/>
        <v>7.80082615458181</v>
      </c>
      <c r="BB253">
        <f t="shared" si="250"/>
        <v>1.44225105741834</v>
      </c>
      <c r="BC253" s="30" t="str">
        <f t="shared" si="251"/>
        <v>-0,636448529878829+0,189215159070727i</v>
      </c>
      <c r="BD253" s="32">
        <f t="shared" si="252"/>
        <v>-3.55690331806065</v>
      </c>
      <c r="BE253" s="31">
        <f t="shared" si="253"/>
        <v>163.442868138554</v>
      </c>
      <c r="BF253" s="30" t="str">
        <f t="shared" si="254"/>
        <v>1,01802047309515+3,28355956267542i</v>
      </c>
      <c r="BG253" s="68">
        <f t="shared" si="255"/>
        <v>10.7254872931582</v>
      </c>
      <c r="BH253" s="31">
        <f t="shared" si="256"/>
        <v>72.774701116196</v>
      </c>
      <c r="BI253" s="30" t="str">
        <f t="shared" si="263"/>
        <v>-4,40395572286835+33,6756427555382i</v>
      </c>
      <c r="BJ253" s="68">
        <f t="shared" si="257"/>
        <v>30.6199641674546</v>
      </c>
      <c r="BK253" s="31">
        <f t="shared" si="264"/>
        <v>97.450613443456</v>
      </c>
      <c r="BL253" s="32">
        <f t="shared" si="258"/>
        <v>10.7254872931582</v>
      </c>
      <c r="BM253" s="31">
        <f t="shared" si="259"/>
        <v>72.774701116196</v>
      </c>
      <c r="BO253">
        <f t="shared" si="260"/>
        <v>0</v>
      </c>
      <c r="BP253">
        <f t="shared" si="261"/>
        <v>0</v>
      </c>
    </row>
    <row r="254" spans="14:68">
      <c r="N254" s="7">
        <v>36</v>
      </c>
      <c r="O254" s="18">
        <f t="shared" si="262"/>
        <v>2290.86765276777</v>
      </c>
      <c r="P254" s="86" t="str">
        <f t="shared" si="212"/>
        <v>96,0576923076923</v>
      </c>
      <c r="Q254" s="4" t="str">
        <f t="shared" si="213"/>
        <v>1+19,213703425485i</v>
      </c>
      <c r="R254" s="4">
        <f t="shared" si="224"/>
        <v>19.2397089199004</v>
      </c>
      <c r="S254" s="4">
        <f t="shared" si="225"/>
        <v>1.51879705797222</v>
      </c>
      <c r="T254" s="4" t="str">
        <f t="shared" si="214"/>
        <v>1+0,225697072912514i</v>
      </c>
      <c r="U254" s="4">
        <f t="shared" si="226"/>
        <v>1.02515324157966</v>
      </c>
      <c r="V254" s="4">
        <f t="shared" si="227"/>
        <v>0.221977827251099</v>
      </c>
      <c r="W254" t="str">
        <f t="shared" si="215"/>
        <v>1-0,107154931158861i</v>
      </c>
      <c r="X254" s="4">
        <f t="shared" si="228"/>
        <v>1.00572470352063</v>
      </c>
      <c r="Y254" s="4">
        <f t="shared" si="229"/>
        <v>-0.106747609618165</v>
      </c>
      <c r="Z254" t="str">
        <f t="shared" si="216"/>
        <v>0,999957158574673+0,183683937462115i</v>
      </c>
      <c r="AA254" s="4">
        <f t="shared" si="230"/>
        <v>1.01668781239195</v>
      </c>
      <c r="AB254" s="4">
        <f t="shared" si="231"/>
        <v>0.181666569185308</v>
      </c>
      <c r="AC254" s="67" t="str">
        <f t="shared" si="232"/>
        <v>-0,073093422856275-5,0625424735997i</v>
      </c>
      <c r="AD254" s="68">
        <f t="shared" si="233"/>
        <v>14.0882788260787</v>
      </c>
      <c r="AE254" s="31">
        <f t="shared" si="234"/>
        <v>-90.8271839088931</v>
      </c>
      <c r="AF254" s="32" t="str">
        <f t="shared" si="235"/>
        <v>236,914774604583</v>
      </c>
      <c r="AG254" s="32" t="str">
        <f t="shared" si="217"/>
        <v>1+4,74476801009262i</v>
      </c>
      <c r="AH254" s="32">
        <f t="shared" si="236"/>
        <v>4.8490023169306</v>
      </c>
      <c r="AI254" s="32">
        <f t="shared" si="237"/>
        <v>1.36307781860025</v>
      </c>
      <c r="AJ254" s="32" t="str">
        <f t="shared" si="218"/>
        <v>1+0,225697072912514i</v>
      </c>
      <c r="AK254" s="32">
        <f t="shared" si="238"/>
        <v>1.02515324157966</v>
      </c>
      <c r="AL254" s="32">
        <f t="shared" si="239"/>
        <v>0.221977827251099</v>
      </c>
      <c r="AM254" s="32" t="str">
        <f t="shared" si="219"/>
        <v>1-0,0107286138893518i</v>
      </c>
      <c r="AN254" s="32">
        <f t="shared" si="240"/>
        <v>1.000057549922</v>
      </c>
      <c r="AO254" s="32">
        <f t="shared" si="241"/>
        <v>-0.0107282022853382</v>
      </c>
      <c r="AP254" s="30" t="str">
        <f t="shared" si="242"/>
        <v>20,3776336187455-45,7579400990445i</v>
      </c>
      <c r="AQ254" s="32">
        <f t="shared" si="243"/>
        <v>33.9950707165595</v>
      </c>
      <c r="AR254" s="31">
        <f t="shared" si="244"/>
        <v>-65.9948942194337</v>
      </c>
      <c r="AS254" t="str">
        <f t="shared" si="220"/>
        <v>-0,000272527472527473</v>
      </c>
      <c r="AT254" t="str">
        <f t="shared" si="221"/>
        <v>0,0032343196609338i</v>
      </c>
      <c r="AU254">
        <f t="shared" si="245"/>
        <v>0.0032343196609338</v>
      </c>
      <c r="AV254">
        <f t="shared" si="246"/>
        <v>1.5707963267949</v>
      </c>
      <c r="AW254" t="str">
        <f t="shared" si="222"/>
        <v>1+0,165591234309819i</v>
      </c>
      <c r="AX254">
        <f t="shared" si="247"/>
        <v>1.0136175101488</v>
      </c>
      <c r="AY254">
        <f t="shared" si="248"/>
        <v>0.164102128666891</v>
      </c>
      <c r="AZ254" t="str">
        <f t="shared" si="223"/>
        <v>1+7,91667028710986i</v>
      </c>
      <c r="BA254">
        <f t="shared" si="249"/>
        <v>7.97957821158538</v>
      </c>
      <c r="BB254">
        <f t="shared" si="250"/>
        <v>1.44514605304442</v>
      </c>
      <c r="BC254" s="30" t="str">
        <f t="shared" si="251"/>
        <v>-0,635684036328512+0,189524847537457i</v>
      </c>
      <c r="BD254" s="32">
        <f t="shared" si="252"/>
        <v>-3.56533641600485</v>
      </c>
      <c r="BE254" s="31">
        <f t="shared" si="253"/>
        <v>163.398410237709</v>
      </c>
      <c r="BF254" s="30" t="str">
        <f t="shared" si="254"/>
        <v>1,00594191253123+3,20432441387956i</v>
      </c>
      <c r="BG254" s="68">
        <f t="shared" si="255"/>
        <v>10.5229424100739</v>
      </c>
      <c r="BH254" s="31">
        <f t="shared" si="256"/>
        <v>72.5712263288157</v>
      </c>
      <c r="BI254" s="30" t="str">
        <f t="shared" si="263"/>
        <v>-4,28146976868822+32,9496599610058i</v>
      </c>
      <c r="BJ254" s="68">
        <f t="shared" si="257"/>
        <v>30.4297343005547</v>
      </c>
      <c r="BK254" s="31">
        <f t="shared" si="264"/>
        <v>97.4035160182751</v>
      </c>
      <c r="BL254" s="32">
        <f t="shared" si="258"/>
        <v>10.5229424100739</v>
      </c>
      <c r="BM254" s="31">
        <f t="shared" si="259"/>
        <v>72.5712263288157</v>
      </c>
      <c r="BO254">
        <f t="shared" si="260"/>
        <v>0</v>
      </c>
      <c r="BP254">
        <f t="shared" si="261"/>
        <v>0</v>
      </c>
    </row>
    <row r="255" spans="14:68">
      <c r="N255" s="7">
        <v>37</v>
      </c>
      <c r="O255" s="18">
        <f t="shared" si="262"/>
        <v>2344.22881531992</v>
      </c>
      <c r="P255" s="86" t="str">
        <f t="shared" si="212"/>
        <v>96,0576923076923</v>
      </c>
      <c r="Q255" s="4" t="str">
        <f t="shared" si="213"/>
        <v>1+19,6612480710595i</v>
      </c>
      <c r="R255" s="4">
        <f t="shared" si="224"/>
        <v>19.6866623812098</v>
      </c>
      <c r="S255" s="4">
        <f t="shared" si="225"/>
        <v>1.51997864543984</v>
      </c>
      <c r="T255" s="4" t="str">
        <f t="shared" si="214"/>
        <v>1+0,230954233089654i</v>
      </c>
      <c r="U255" s="4">
        <f t="shared" si="226"/>
        <v>1.02632346644809</v>
      </c>
      <c r="V255" s="4">
        <f t="shared" si="227"/>
        <v>0.226974489203117</v>
      </c>
      <c r="W255" t="str">
        <f t="shared" si="215"/>
        <v>1-0,109650890143189i</v>
      </c>
      <c r="X255" s="4">
        <f t="shared" si="228"/>
        <v>1.0059936966548</v>
      </c>
      <c r="Y255" s="4">
        <f t="shared" si="229"/>
        <v>-0.109214577569585</v>
      </c>
      <c r="Z255" t="str">
        <f t="shared" si="216"/>
        <v>0,999955139520501+0,187962485999519i</v>
      </c>
      <c r="AA255" s="4">
        <f t="shared" si="230"/>
        <v>1.01746753127389</v>
      </c>
      <c r="AB255" s="4">
        <f t="shared" si="231"/>
        <v>0.185802836170986</v>
      </c>
      <c r="AC255" s="67" t="str">
        <f t="shared" si="232"/>
        <v>-0,0852830846165437-4,95056289155133i</v>
      </c>
      <c r="AD255" s="68">
        <f t="shared" si="233"/>
        <v>13.8943802970483</v>
      </c>
      <c r="AE255" s="31">
        <f t="shared" si="234"/>
        <v>-90.9869337354376</v>
      </c>
      <c r="AF255" s="32" t="str">
        <f t="shared" si="235"/>
        <v>236,914774604583</v>
      </c>
      <c r="AG255" s="32" t="str">
        <f t="shared" si="217"/>
        <v>1+4,85528785472568i</v>
      </c>
      <c r="AH255" s="32">
        <f t="shared" si="236"/>
        <v>4.95719882113343</v>
      </c>
      <c r="AI255" s="32">
        <f t="shared" si="237"/>
        <v>1.36767565026107</v>
      </c>
      <c r="AJ255" s="32" t="str">
        <f t="shared" si="218"/>
        <v>1+0,230954233089654i</v>
      </c>
      <c r="AK255" s="32">
        <f t="shared" si="238"/>
        <v>1.02632346644809</v>
      </c>
      <c r="AL255" s="32">
        <f t="shared" si="239"/>
        <v>0.226974489203117</v>
      </c>
      <c r="AM255" s="32" t="str">
        <f t="shared" si="219"/>
        <v>1-0,0109785154098597i</v>
      </c>
      <c r="AN255" s="32">
        <f t="shared" si="240"/>
        <v>1.00006026208454</v>
      </c>
      <c r="AO255" s="32">
        <f t="shared" si="241"/>
        <v>-0.0109780743696484</v>
      </c>
      <c r="AP255" s="30" t="str">
        <f t="shared" si="242"/>
        <v>19,9623509728023-44,8074626574286i</v>
      </c>
      <c r="AQ255" s="32">
        <f t="shared" si="243"/>
        <v>33.8133247440617</v>
      </c>
      <c r="AR255" s="31">
        <f t="shared" si="244"/>
        <v>-65.9863595428553</v>
      </c>
      <c r="AS255" t="str">
        <f t="shared" si="220"/>
        <v>-0,000272527472527473</v>
      </c>
      <c r="AT255" t="str">
        <f t="shared" si="221"/>
        <v>0,00330965664382943i</v>
      </c>
      <c r="AU255">
        <f t="shared" si="245"/>
        <v>0.00330965664382943</v>
      </c>
      <c r="AV255">
        <f t="shared" si="246"/>
        <v>1.5707963267949</v>
      </c>
      <c r="AW255" t="str">
        <f t="shared" si="222"/>
        <v>1+0,169448349652359i</v>
      </c>
      <c r="AX255">
        <f t="shared" si="247"/>
        <v>1.01425477233282</v>
      </c>
      <c r="AY255">
        <f t="shared" si="248"/>
        <v>0.167853952870818</v>
      </c>
      <c r="AZ255" t="str">
        <f t="shared" si="223"/>
        <v>1+8,1010732269968i</v>
      </c>
      <c r="BA255">
        <f t="shared" si="249"/>
        <v>8.16256010263718</v>
      </c>
      <c r="BB255">
        <f t="shared" si="250"/>
        <v>1.44797719791475</v>
      </c>
      <c r="BC255" s="30" t="str">
        <f t="shared" si="251"/>
        <v>-0,634885479307414+0,18992342223001i</v>
      </c>
      <c r="BD255" s="32">
        <f t="shared" si="252"/>
        <v>-3.57386640051839</v>
      </c>
      <c r="BE255" s="31">
        <f t="shared" si="253"/>
        <v>163.345659197609</v>
      </c>
      <c r="BF255" s="30" t="str">
        <f t="shared" si="254"/>
        <v>0,994372838381912+3,12684323895536i</v>
      </c>
      <c r="BG255" s="68">
        <f t="shared" si="255"/>
        <v>10.3205138965299</v>
      </c>
      <c r="BH255" s="31">
        <f t="shared" si="256"/>
        <v>72.3587254621712</v>
      </c>
      <c r="BI255" s="30" t="str">
        <f t="shared" si="263"/>
        <v>-4,16382011612819+32,2389254183218i</v>
      </c>
      <c r="BJ255" s="68">
        <f t="shared" si="257"/>
        <v>30.2394583435433</v>
      </c>
      <c r="BK255" s="31">
        <f t="shared" si="264"/>
        <v>97.3592996547534</v>
      </c>
      <c r="BL255" s="32">
        <f t="shared" si="258"/>
        <v>10.3205138965299</v>
      </c>
      <c r="BM255" s="31">
        <f t="shared" si="259"/>
        <v>72.3587254621712</v>
      </c>
      <c r="BO255">
        <f t="shared" si="260"/>
        <v>0</v>
      </c>
      <c r="BP255">
        <f t="shared" si="261"/>
        <v>0</v>
      </c>
    </row>
    <row r="256" spans="14:68">
      <c r="N256" s="7">
        <v>38</v>
      </c>
      <c r="O256" s="18">
        <f t="shared" si="262"/>
        <v>2398.83291901949</v>
      </c>
      <c r="P256" s="86" t="str">
        <f t="shared" si="212"/>
        <v>96,0576923076923</v>
      </c>
      <c r="Q256" s="4" t="str">
        <f t="shared" si="213"/>
        <v>1+20,1192173706088i</v>
      </c>
      <c r="R256" s="4">
        <f t="shared" si="224"/>
        <v>20.1440539019783</v>
      </c>
      <c r="S256" s="4">
        <f t="shared" si="225"/>
        <v>1.52113347394144</v>
      </c>
      <c r="T256" s="4" t="str">
        <f t="shared" si="214"/>
        <v>1+0,23633384825822i</v>
      </c>
      <c r="U256" s="4">
        <f t="shared" si="226"/>
        <v>1.02754741390971</v>
      </c>
      <c r="V256" s="4">
        <f t="shared" si="227"/>
        <v>0.232075625921199</v>
      </c>
      <c r="W256" t="str">
        <f t="shared" si="215"/>
        <v>1-0,112204987480873i</v>
      </c>
      <c r="X256" s="4">
        <f t="shared" si="228"/>
        <v>1.00627528997565</v>
      </c>
      <c r="Y256" s="4">
        <f t="shared" si="229"/>
        <v>-0.111737627454352</v>
      </c>
      <c r="Z256" t="str">
        <f t="shared" si="216"/>
        <v>0,999953025311238+0,192340694734978i</v>
      </c>
      <c r="AA256" s="4">
        <f t="shared" si="230"/>
        <v>1.0182833572637</v>
      </c>
      <c r="AB256" s="4">
        <f t="shared" si="231"/>
        <v>0.190028826383395</v>
      </c>
      <c r="AC256" s="67" t="str">
        <f t="shared" si="232"/>
        <v>-0,096971321650975-4,84114621141468i</v>
      </c>
      <c r="AD256" s="68">
        <f t="shared" si="233"/>
        <v>13.7007061439998</v>
      </c>
      <c r="AE256" s="31">
        <f t="shared" si="234"/>
        <v>-91.1475184433086</v>
      </c>
      <c r="AF256" s="32" t="str">
        <f t="shared" si="235"/>
        <v>236,914774604583</v>
      </c>
      <c r="AG256" s="32" t="str">
        <f t="shared" si="217"/>
        <v>1+4,96838203724667i</v>
      </c>
      <c r="AH256" s="32">
        <f t="shared" si="236"/>
        <v>5.06801934369191</v>
      </c>
      <c r="AI256" s="32">
        <f t="shared" si="237"/>
        <v>1.37217725263248</v>
      </c>
      <c r="AJ256" s="32" t="str">
        <f t="shared" si="218"/>
        <v>1+0,23633384825822i</v>
      </c>
      <c r="AK256" s="32">
        <f t="shared" si="238"/>
        <v>1.02754741390971</v>
      </c>
      <c r="AL256" s="32">
        <f t="shared" si="239"/>
        <v>0.232075625921199</v>
      </c>
      <c r="AM256" s="32" t="str">
        <f t="shared" si="219"/>
        <v>1-0,0112342378845557i</v>
      </c>
      <c r="AN256" s="32">
        <f t="shared" si="240"/>
        <v>1.00006310205949</v>
      </c>
      <c r="AO256" s="32">
        <f t="shared" si="241"/>
        <v>-0.0112337653030654</v>
      </c>
      <c r="AP256" s="30" t="str">
        <f t="shared" si="242"/>
        <v>19,5642694330131-43,8733413675804i</v>
      </c>
      <c r="AQ256" s="32">
        <f t="shared" si="243"/>
        <v>33.6316631203358</v>
      </c>
      <c r="AR256" s="31">
        <f t="shared" si="244"/>
        <v>-65.9666587664623</v>
      </c>
      <c r="AS256" t="str">
        <f t="shared" si="220"/>
        <v>-0,000272527472527473</v>
      </c>
      <c r="AT256" t="str">
        <f t="shared" si="221"/>
        <v>0,0033867484504861i</v>
      </c>
      <c r="AU256">
        <f t="shared" si="245"/>
        <v>0.0033867484504861</v>
      </c>
      <c r="AV256">
        <f t="shared" si="246"/>
        <v>1.5707963267949</v>
      </c>
      <c r="AW256" t="str">
        <f t="shared" si="222"/>
        <v>1+0,173395308752798i</v>
      </c>
      <c r="AX256">
        <f t="shared" si="247"/>
        <v>1.01492163889508</v>
      </c>
      <c r="AY256">
        <f t="shared" si="248"/>
        <v>0.171688235467247</v>
      </c>
      <c r="AZ256" t="str">
        <f t="shared" si="223"/>
        <v>1+8,28977146313909i</v>
      </c>
      <c r="BA256">
        <f t="shared" si="249"/>
        <v>8.34986891580192</v>
      </c>
      <c r="BB256">
        <f t="shared" si="250"/>
        <v>1.45074581150116</v>
      </c>
      <c r="BC256" s="30" t="str">
        <f t="shared" si="251"/>
        <v>-0,634051435010729+0,190410311509415i</v>
      </c>
      <c r="BD256" s="32">
        <f t="shared" si="252"/>
        <v>-3.58251013591908</v>
      </c>
      <c r="BE256" s="31">
        <f t="shared" si="253"/>
        <v>163.284600860976</v>
      </c>
      <c r="BF256" s="30" t="str">
        <f t="shared" si="254"/>
        <v>0,983288963825781+3,05107136288119i</v>
      </c>
      <c r="BG256" s="68">
        <f t="shared" si="255"/>
        <v>10.1181960080807</v>
      </c>
      <c r="BH256" s="31">
        <f t="shared" si="256"/>
        <v>72.1370824176679</v>
      </c>
      <c r="BI256" s="30" t="str">
        <f t="shared" si="263"/>
        <v>-4,05081651217861+31,5431936900241i</v>
      </c>
      <c r="BJ256" s="68">
        <f t="shared" si="257"/>
        <v>30.0491529844167</v>
      </c>
      <c r="BK256" s="31">
        <f t="shared" si="264"/>
        <v>97.3179420945142</v>
      </c>
      <c r="BL256" s="32">
        <f t="shared" si="258"/>
        <v>10.1181960080807</v>
      </c>
      <c r="BM256" s="31">
        <f t="shared" si="259"/>
        <v>72.1370824176679</v>
      </c>
      <c r="BO256">
        <f t="shared" si="260"/>
        <v>0</v>
      </c>
      <c r="BP256">
        <f t="shared" si="261"/>
        <v>0</v>
      </c>
    </row>
    <row r="257" spans="14:68">
      <c r="N257" s="7">
        <v>39</v>
      </c>
      <c r="O257" s="18">
        <f t="shared" si="262"/>
        <v>2454.70891568503</v>
      </c>
      <c r="P257" s="86" t="str">
        <f t="shared" si="212"/>
        <v>96,0576923076923</v>
      </c>
      <c r="Q257" s="4" t="str">
        <f t="shared" si="213"/>
        <v>1+20,5878541455171i</v>
      </c>
      <c r="R257" s="4">
        <f t="shared" si="224"/>
        <v>20.6121260018729</v>
      </c>
      <c r="S257" s="4">
        <f t="shared" si="225"/>
        <v>1.5222621434545</v>
      </c>
      <c r="T257" s="4" t="str">
        <f t="shared" si="214"/>
        <v>1+0,241838770761379i</v>
      </c>
      <c r="U257" s="4">
        <f t="shared" si="226"/>
        <v>1.02882748361588</v>
      </c>
      <c r="V257" s="4">
        <f t="shared" si="227"/>
        <v>0.237282879706007</v>
      </c>
      <c r="W257" t="str">
        <f t="shared" si="215"/>
        <v>1-0,114818577388127i</v>
      </c>
      <c r="X257" s="4">
        <f t="shared" si="228"/>
        <v>1.00657006994716</v>
      </c>
      <c r="Y257" s="4">
        <f t="shared" si="229"/>
        <v>-0.114317968467729</v>
      </c>
      <c r="Z257" t="str">
        <f t="shared" si="216"/>
        <v>0,999950811462361+0,196820885052714i</v>
      </c>
      <c r="AA257" s="4">
        <f t="shared" si="230"/>
        <v>1.01913693198567</v>
      </c>
      <c r="AB257" s="4">
        <f t="shared" si="231"/>
        <v>0.194346178813823</v>
      </c>
      <c r="AC257" s="67" t="str">
        <f t="shared" si="232"/>
        <v>-0,108182344606112-4,73423739752441i</v>
      </c>
      <c r="AD257" s="68">
        <f t="shared" si="233"/>
        <v>13.5072678030257</v>
      </c>
      <c r="AE257" s="31">
        <f t="shared" si="234"/>
        <v>-91.309041500854</v>
      </c>
      <c r="AF257" s="32" t="str">
        <f t="shared" si="235"/>
        <v>236,914774604583</v>
      </c>
      <c r="AG257" s="32" t="str">
        <f t="shared" si="217"/>
        <v>1+5,08411052168808i</v>
      </c>
      <c r="AH257" s="32">
        <f t="shared" si="236"/>
        <v>5.18152292253344</v>
      </c>
      <c r="AI257" s="32">
        <f t="shared" si="237"/>
        <v>1.37658428239935</v>
      </c>
      <c r="AJ257" s="32" t="str">
        <f t="shared" si="218"/>
        <v>1+0,241838770761379i</v>
      </c>
      <c r="AK257" s="32">
        <f t="shared" si="238"/>
        <v>1.02882748361588</v>
      </c>
      <c r="AL257" s="32">
        <f t="shared" si="239"/>
        <v>0.237282879706007</v>
      </c>
      <c r="AM257" s="32" t="str">
        <f t="shared" si="219"/>
        <v>1-0,0114959169008808i</v>
      </c>
      <c r="AN257" s="32">
        <f t="shared" si="240"/>
        <v>1.00006607586969</v>
      </c>
      <c r="AO257" s="32">
        <f t="shared" si="241"/>
        <v>-0.0114954105224976</v>
      </c>
      <c r="AP257" s="30" t="str">
        <f t="shared" si="242"/>
        <v>19,182738401695-42,9555368387113i</v>
      </c>
      <c r="AQ257" s="32">
        <f t="shared" si="243"/>
        <v>33.4501194842456</v>
      </c>
      <c r="AR257" s="31">
        <f t="shared" si="244"/>
        <v>-65.9358004743724</v>
      </c>
      <c r="AS257" t="str">
        <f t="shared" si="220"/>
        <v>-0,000272527472527473</v>
      </c>
      <c r="AT257" t="str">
        <f t="shared" si="221"/>
        <v>0,00346563595600013i</v>
      </c>
      <c r="AU257">
        <f t="shared" si="245"/>
        <v>0.00346563595600013</v>
      </c>
      <c r="AV257">
        <f t="shared" si="246"/>
        <v>1.5707963267949</v>
      </c>
      <c r="AW257" t="str">
        <f t="shared" si="222"/>
        <v>1+0,177434204341096i</v>
      </c>
      <c r="AX257">
        <f t="shared" si="247"/>
        <v>1.01561946459792</v>
      </c>
      <c r="AY257">
        <f t="shared" si="248"/>
        <v>0.175606558253175</v>
      </c>
      <c r="AZ257" t="str">
        <f t="shared" si="223"/>
        <v>1+8,48286504583919i</v>
      </c>
      <c r="BA257">
        <f t="shared" si="249"/>
        <v>8.54160402886485</v>
      </c>
      <c r="BB257">
        <f t="shared" si="250"/>
        <v>1.45345319189189</v>
      </c>
      <c r="BC257" s="30" t="str">
        <f t="shared" si="251"/>
        <v>-0,633180428893075+0,19098494000851i</v>
      </c>
      <c r="BD257" s="32">
        <f t="shared" si="252"/>
        <v>-3.59128466706099</v>
      </c>
      <c r="BE257" s="31">
        <f t="shared" si="253"/>
        <v>163.215218972499</v>
      </c>
      <c r="BF257" s="30" t="str">
        <f t="shared" si="254"/>
        <v>0,9726669887086+2,97696526725156i</v>
      </c>
      <c r="BG257" s="68">
        <f t="shared" si="255"/>
        <v>9.91598313596466</v>
      </c>
      <c r="BH257" s="31">
        <f t="shared" si="256"/>
        <v>71.9061774716445</v>
      </c>
      <c r="BI257" s="30" t="str">
        <f t="shared" si="263"/>
        <v>-3,94227390235428+30,8622193817142i</v>
      </c>
      <c r="BJ257" s="68">
        <f t="shared" si="257"/>
        <v>29.8588348171846</v>
      </c>
      <c r="BK257" s="31">
        <f t="shared" si="264"/>
        <v>97.2794184981261</v>
      </c>
      <c r="BL257" s="32">
        <f t="shared" si="258"/>
        <v>9.91598313596466</v>
      </c>
      <c r="BM257" s="31">
        <f t="shared" si="259"/>
        <v>71.9061774716445</v>
      </c>
      <c r="BO257">
        <f t="shared" si="260"/>
        <v>0</v>
      </c>
      <c r="BP257">
        <f t="shared" si="261"/>
        <v>0</v>
      </c>
    </row>
    <row r="258" spans="14:68">
      <c r="N258" s="7">
        <v>40</v>
      </c>
      <c r="O258" s="18">
        <f t="shared" si="262"/>
        <v>2511.88643150958</v>
      </c>
      <c r="P258" s="86" t="str">
        <f t="shared" si="212"/>
        <v>96,0576923076923</v>
      </c>
      <c r="Q258" s="4" t="str">
        <f t="shared" si="213"/>
        <v>1+21,067406873206i</v>
      </c>
      <c r="R258" s="4">
        <f t="shared" si="224"/>
        <v>21.0911268632382</v>
      </c>
      <c r="S258" s="4">
        <f t="shared" si="225"/>
        <v>1.52336524090555</v>
      </c>
      <c r="T258" s="4" t="str">
        <f t="shared" si="214"/>
        <v>1+0,247471919381912i</v>
      </c>
      <c r="U258" s="4">
        <f t="shared" si="226"/>
        <v>1.03016617634368</v>
      </c>
      <c r="V258" s="4">
        <f t="shared" si="227"/>
        <v>0.242597881438763</v>
      </c>
      <c r="W258" t="str">
        <f t="shared" si="215"/>
        <v>1-0,117493045624916i</v>
      </c>
      <c r="X258" s="4">
        <f t="shared" si="228"/>
        <v>1.00687864997239</v>
      </c>
      <c r="Y258" s="4">
        <f t="shared" si="229"/>
        <v>-0.116956831223713</v>
      </c>
      <c r="Z258" t="str">
        <f t="shared" si="216"/>
        <v>0,999948493278002+0,201405432408939i</v>
      </c>
      <c r="AA258" s="4">
        <f t="shared" si="230"/>
        <v>1.02002996887973</v>
      </c>
      <c r="AB258" s="4">
        <f t="shared" si="231"/>
        <v>0.198756541028246</v>
      </c>
      <c r="AC258" s="67" t="str">
        <f t="shared" si="232"/>
        <v>-0,118939363225604-4,62978247351342i</v>
      </c>
      <c r="AD258" s="68">
        <f t="shared" si="233"/>
        <v>13.3140770371188</v>
      </c>
      <c r="AE258" s="31">
        <f t="shared" si="234"/>
        <v>-91.4716080014415</v>
      </c>
      <c r="AF258" s="32" t="str">
        <f t="shared" si="235"/>
        <v>236,914774604583</v>
      </c>
      <c r="AG258" s="32" t="str">
        <f t="shared" si="217"/>
        <v>1+5,20253466882428i</v>
      </c>
      <c r="AH258" s="32">
        <f t="shared" si="236"/>
        <v>5.29777000070016</v>
      </c>
      <c r="AI258" s="32">
        <f t="shared" si="237"/>
        <v>1.38089839115682</v>
      </c>
      <c r="AJ258" s="32" t="str">
        <f t="shared" si="218"/>
        <v>1+0,247471919381912i</v>
      </c>
      <c r="AK258" s="32">
        <f t="shared" si="238"/>
        <v>1.03016617634368</v>
      </c>
      <c r="AL258" s="32">
        <f t="shared" si="239"/>
        <v>0.242597881438763</v>
      </c>
      <c r="AM258" s="32" t="str">
        <f t="shared" si="219"/>
        <v>1-0,0117636912045133i</v>
      </c>
      <c r="AN258" s="32">
        <f t="shared" si="240"/>
        <v>1.00006918982176</v>
      </c>
      <c r="AO258" s="32">
        <f t="shared" si="241"/>
        <v>-0.0117631486123274</v>
      </c>
      <c r="AP258" s="30" t="str">
        <f t="shared" si="242"/>
        <v>18,8171266095594-42,0539918027947i</v>
      </c>
      <c r="AQ258" s="32">
        <f t="shared" si="243"/>
        <v>33.268727594685</v>
      </c>
      <c r="AR258" s="31">
        <f t="shared" si="244"/>
        <v>-65.8937937937067</v>
      </c>
      <c r="AS258" t="str">
        <f t="shared" si="220"/>
        <v>-0,000272527472527473</v>
      </c>
      <c r="AT258" t="str">
        <f t="shared" si="221"/>
        <v>0,00354636098757114i</v>
      </c>
      <c r="AU258">
        <f t="shared" si="245"/>
        <v>0.00354636098757114</v>
      </c>
      <c r="AV258">
        <f t="shared" si="246"/>
        <v>1.5707963267949</v>
      </c>
      <c r="AW258" t="str">
        <f t="shared" si="222"/>
        <v>1+0,181567177893155i</v>
      </c>
      <c r="AX258">
        <f t="shared" si="247"/>
        <v>1.01634966428296</v>
      </c>
      <c r="AY258">
        <f t="shared" si="248"/>
        <v>0.17961051726367</v>
      </c>
      <c r="AZ258" t="str">
        <f t="shared" si="223"/>
        <v>1+8,68045635587063i</v>
      </c>
      <c r="BA258">
        <f t="shared" si="249"/>
        <v>8.73786716230997</v>
      </c>
      <c r="BB258">
        <f t="shared" si="250"/>
        <v>1.45610061573169</v>
      </c>
      <c r="BC258" s="30" t="str">
        <f t="shared" si="251"/>
        <v>-0,632270934693911+0,191646725330425i</v>
      </c>
      <c r="BD258" s="32">
        <f t="shared" si="252"/>
        <v>-3.60020724545683</v>
      </c>
      <c r="BE258" s="31">
        <f t="shared" si="253"/>
        <v>163.137495232457</v>
      </c>
      <c r="BF258" s="30" t="str">
        <f t="shared" si="254"/>
        <v>0,962484552399593+2,90448255248274i</v>
      </c>
      <c r="BG258" s="68">
        <f t="shared" si="255"/>
        <v>9.71386979166191</v>
      </c>
      <c r="BH258" s="31">
        <f t="shared" si="256"/>
        <v>71.6658872310152</v>
      </c>
      <c r="BI258" s="30" t="str">
        <f t="shared" si="263"/>
        <v>-3,83801241360165+30,1957573996131i</v>
      </c>
      <c r="BJ258" s="68">
        <f t="shared" si="257"/>
        <v>29.6685203492281</v>
      </c>
      <c r="BK258" s="31">
        <f t="shared" si="264"/>
        <v>97.24370143875</v>
      </c>
      <c r="BL258" s="32">
        <f t="shared" si="258"/>
        <v>9.71386979166191</v>
      </c>
      <c r="BM258" s="31">
        <f t="shared" si="259"/>
        <v>71.6658872310152</v>
      </c>
      <c r="BO258">
        <f t="shared" si="260"/>
        <v>0</v>
      </c>
      <c r="BP258">
        <f t="shared" si="261"/>
        <v>0</v>
      </c>
    </row>
    <row r="259" spans="14:68">
      <c r="N259" s="7">
        <v>41</v>
      </c>
      <c r="O259" s="18">
        <f t="shared" si="262"/>
        <v>2570.39578276887</v>
      </c>
      <c r="P259" s="86" t="str">
        <f t="shared" si="212"/>
        <v>96,0576923076923</v>
      </c>
      <c r="Q259" s="4" t="str">
        <f t="shared" si="213"/>
        <v>1+21,5581298188791i</v>
      </c>
      <c r="R259" s="4">
        <f t="shared" si="224"/>
        <v>21.5813104627046</v>
      </c>
      <c r="S259" s="4">
        <f t="shared" si="225"/>
        <v>1.52444334042714</v>
      </c>
      <c r="T259" s="4" t="str">
        <f t="shared" si="214"/>
        <v>1+0,253236280889778i</v>
      </c>
      <c r="U259" s="4">
        <f t="shared" si="226"/>
        <v>1.03156609771691</v>
      </c>
      <c r="V259" s="4">
        <f t="shared" si="227"/>
        <v>0.248022247525237</v>
      </c>
      <c r="W259" t="str">
        <f t="shared" si="215"/>
        <v>1-0,120229810229699i</v>
      </c>
      <c r="X259" s="4">
        <f t="shared" si="228"/>
        <v>1.00720167159704</v>
      </c>
      <c r="Y259" s="4">
        <f t="shared" si="229"/>
        <v>-0.119655467795126</v>
      </c>
      <c r="Z259" t="str">
        <f t="shared" si="216"/>
        <v>0,999946065840979+0,206096767591342i</v>
      </c>
      <c r="AA259" s="4">
        <f t="shared" si="230"/>
        <v>1.02096425608463</v>
      </c>
      <c r="AB259" s="4">
        <f t="shared" si="231"/>
        <v>0.203261567552096</v>
      </c>
      <c r="AC259" s="67" t="str">
        <f t="shared" si="232"/>
        <v>-0,129264631136828-4,52772850718279i</v>
      </c>
      <c r="AD259" s="68">
        <f t="shared" si="233"/>
        <v>13.1211459465115</v>
      </c>
      <c r="AE259" s="31">
        <f t="shared" si="234"/>
        <v>-91.6353247630276</v>
      </c>
      <c r="AF259" s="32" t="str">
        <f t="shared" si="235"/>
        <v>236,914774604583</v>
      </c>
      <c r="AG259" s="32" t="str">
        <f t="shared" si="217"/>
        <v>1+5,32371726870555i</v>
      </c>
      <c r="AH259" s="32">
        <f t="shared" si="236"/>
        <v>5.41682245944185</v>
      </c>
      <c r="AI259" s="32">
        <f t="shared" si="237"/>
        <v>1.38512122365581</v>
      </c>
      <c r="AJ259" s="32" t="str">
        <f t="shared" si="218"/>
        <v>1+0,253236280889778i</v>
      </c>
      <c r="AK259" s="32">
        <f t="shared" si="238"/>
        <v>1.03156609771691</v>
      </c>
      <c r="AL259" s="32">
        <f t="shared" si="239"/>
        <v>0.248022247525237</v>
      </c>
      <c r="AM259" s="32" t="str">
        <f t="shared" si="219"/>
        <v>1-0,0120377027729332i</v>
      </c>
      <c r="AN259" s="32">
        <f t="shared" si="240"/>
        <v>1.00007245051949</v>
      </c>
      <c r="AO259" s="32">
        <f t="shared" si="241"/>
        <v>-0.0120371213772059</v>
      </c>
      <c r="AP259" s="30" t="str">
        <f t="shared" si="242"/>
        <v>18,4668220103902-41,168632465328i</v>
      </c>
      <c r="AQ259" s="32">
        <f t="shared" si="243"/>
        <v>33.087521363573</v>
      </c>
      <c r="AR259" s="31">
        <f t="shared" si="244"/>
        <v>-65.8406484733295</v>
      </c>
      <c r="AS259" t="str">
        <f t="shared" si="220"/>
        <v>-0,000272527472527473</v>
      </c>
      <c r="AT259" t="str">
        <f t="shared" si="221"/>
        <v>0,00362896634667941i</v>
      </c>
      <c r="AU259">
        <f t="shared" si="245"/>
        <v>0.00362896634667941</v>
      </c>
      <c r="AV259">
        <f t="shared" si="246"/>
        <v>1.5707963267949</v>
      </c>
      <c r="AW259" t="str">
        <f t="shared" si="222"/>
        <v>1+0,185796420766259i</v>
      </c>
      <c r="AX259">
        <f t="shared" si="247"/>
        <v>1.0171137153581</v>
      </c>
      <c r="AY259">
        <f t="shared" si="248"/>
        <v>0.183701721675213</v>
      </c>
      <c r="AZ259" t="str">
        <f t="shared" si="223"/>
        <v>1+8,88265015876133i</v>
      </c>
      <c r="BA259">
        <f t="shared" si="249"/>
        <v>8.93876243352192</v>
      </c>
      <c r="BB259">
        <f t="shared" si="250"/>
        <v>1.45868933819641</v>
      </c>
      <c r="BC259" s="30" t="str">
        <f t="shared" si="251"/>
        <v>-0,631321373531411+0,192395074597146i</v>
      </c>
      <c r="BD259" s="32">
        <f t="shared" si="252"/>
        <v>-3.60929535533858</v>
      </c>
      <c r="BE259" s="31">
        <f t="shared" si="253"/>
        <v>163.051409358109</v>
      </c>
      <c r="BF259" s="30" t="str">
        <f t="shared" si="254"/>
        <v>0,952720188373391+2,83358190178162i</v>
      </c>
      <c r="BG259" s="68">
        <f t="shared" si="255"/>
        <v>9.51185059117287</v>
      </c>
      <c r="BH259" s="31">
        <f t="shared" si="256"/>
        <v>71.4160845950813</v>
      </c>
      <c r="BI259" s="30" t="str">
        <f t="shared" si="263"/>
        <v>-3,73785732213037+29,543563192682i</v>
      </c>
      <c r="BJ259" s="68">
        <f t="shared" si="257"/>
        <v>29.4782260082344</v>
      </c>
      <c r="BK259" s="31">
        <f t="shared" si="264"/>
        <v>97.2107608847795</v>
      </c>
      <c r="BL259" s="32">
        <f t="shared" si="258"/>
        <v>9.51185059117287</v>
      </c>
      <c r="BM259" s="31">
        <f t="shared" si="259"/>
        <v>71.4160845950813</v>
      </c>
      <c r="BO259">
        <f t="shared" si="260"/>
        <v>0</v>
      </c>
      <c r="BP259">
        <f t="shared" si="261"/>
        <v>0</v>
      </c>
    </row>
    <row r="260" spans="14:68">
      <c r="N260" s="7">
        <v>42</v>
      </c>
      <c r="O260" s="18">
        <f t="shared" si="262"/>
        <v>2630.26799189538</v>
      </c>
      <c r="P260" s="86" t="str">
        <f t="shared" si="212"/>
        <v>96,0576923076923</v>
      </c>
      <c r="Q260" s="4" t="str">
        <f t="shared" si="213"/>
        <v>1+22,0602831703377i</v>
      </c>
      <c r="R260" s="4">
        <f t="shared" si="224"/>
        <v>22.0829367058705</v>
      </c>
      <c r="S260" s="4">
        <f t="shared" si="225"/>
        <v>1.52549700361163</v>
      </c>
      <c r="T260" s="4" t="str">
        <f t="shared" si="214"/>
        <v>1+0,25913491162575i</v>
      </c>
      <c r="U260" s="4">
        <f t="shared" si="226"/>
        <v>1.03302996201625</v>
      </c>
      <c r="V260" s="4">
        <f t="shared" si="227"/>
        <v>0.253557576649151</v>
      </c>
      <c r="W260" t="str">
        <f t="shared" si="215"/>
        <v>1-0,123030322271296i</v>
      </c>
      <c r="X260" s="4">
        <f t="shared" si="228"/>
        <v>1.00753980576361</v>
      </c>
      <c r="Y260" s="4">
        <f t="shared" si="229"/>
        <v>-0.122415151724629</v>
      </c>
      <c r="Z260" t="str">
        <f t="shared" si="216"/>
        <v>0,999943524002374+0,210897378007935i</v>
      </c>
      <c r="AA260" s="4">
        <f t="shared" si="230"/>
        <v>1.02194165941354</v>
      </c>
      <c r="AB260" s="4">
        <f t="shared" si="231"/>
        <v>0.207862918121051</v>
      </c>
      <c r="AC260" s="67" t="str">
        <f t="shared" si="232"/>
        <v>-0,13917948871331-4,42802359483252i</v>
      </c>
      <c r="AD260" s="68">
        <f t="shared" si="233"/>
        <v>12.9284869786252</v>
      </c>
      <c r="AE260" s="31">
        <f t="shared" si="234"/>
        <v>-91.8003004291227</v>
      </c>
      <c r="AF260" s="32" t="str">
        <f t="shared" si="235"/>
        <v>236,914774604583</v>
      </c>
      <c r="AG260" s="32" t="str">
        <f t="shared" si="217"/>
        <v>1+5,44772257395042i</v>
      </c>
      <c r="AH260" s="32">
        <f t="shared" si="236"/>
        <v>5.53874365201433</v>
      </c>
      <c r="AI260" s="32">
        <f t="shared" si="237"/>
        <v>1.38925441618264</v>
      </c>
      <c r="AJ260" s="32" t="str">
        <f t="shared" si="218"/>
        <v>1+0,25913491162575i</v>
      </c>
      <c r="AK260" s="32">
        <f t="shared" si="238"/>
        <v>1.03302996201625</v>
      </c>
      <c r="AL260" s="32">
        <f t="shared" si="239"/>
        <v>0.253557576649151</v>
      </c>
      <c r="AM260" s="32" t="str">
        <f t="shared" si="219"/>
        <v>1-0,0123180968907011i</v>
      </c>
      <c r="AN260" s="32">
        <f t="shared" si="240"/>
        <v>1.00007586487776</v>
      </c>
      <c r="AO260" s="32">
        <f t="shared" si="241"/>
        <v>-0.0123174739165077</v>
      </c>
      <c r="AP260" s="30" t="str">
        <f t="shared" si="242"/>
        <v>18,1312316263257-40,2993697926833i</v>
      </c>
      <c r="AQ260" s="32">
        <f t="shared" si="243"/>
        <v>32.9065348882203</v>
      </c>
      <c r="AR260" s="31">
        <f t="shared" si="244"/>
        <v>-65.7763749812937</v>
      </c>
      <c r="AS260" t="str">
        <f t="shared" si="220"/>
        <v>-0,000272527472527473</v>
      </c>
      <c r="AT260" t="str">
        <f t="shared" si="221"/>
        <v>0,00371349583177972i</v>
      </c>
      <c r="AU260">
        <f t="shared" si="245"/>
        <v>0.00371349583177972</v>
      </c>
      <c r="AV260">
        <f t="shared" si="246"/>
        <v>1.5707963267949</v>
      </c>
      <c r="AW260" t="str">
        <f t="shared" si="222"/>
        <v>1+0,190124175360958i</v>
      </c>
      <c r="AX260">
        <f t="shared" si="247"/>
        <v>1.0179131603711</v>
      </c>
      <c r="AY260">
        <f t="shared" si="248"/>
        <v>0.187881792602578</v>
      </c>
      <c r="AZ260" t="str">
        <f t="shared" si="223"/>
        <v>1+9,08955366034198i</v>
      </c>
      <c r="BA260">
        <f t="shared" si="249"/>
        <v>9.14439641224265</v>
      </c>
      <c r="BB260">
        <f t="shared" si="250"/>
        <v>1.46122059299963</v>
      </c>
      <c r="BC260" s="30" t="str">
        <f t="shared" si="251"/>
        <v>-0,630330113076337+0,19322938084299i</v>
      </c>
      <c r="BD260" s="32">
        <f t="shared" si="252"/>
        <v>-3.61856673963736</v>
      </c>
      <c r="BE260" s="31">
        <f t="shared" si="253"/>
        <v>162.956939153002</v>
      </c>
      <c r="BF260" s="30" t="str">
        <f t="shared" si="254"/>
        <v>0,943353280446206+2,76422304680535i</v>
      </c>
      <c r="BG260" s="68">
        <f t="shared" si="255"/>
        <v>9.30992023898781</v>
      </c>
      <c r="BH260" s="31">
        <f t="shared" si="256"/>
        <v>71.1566387238793</v>
      </c>
      <c r="BI260" s="30" t="str">
        <f t="shared" si="263"/>
        <v>-3,64163900783225+28,9053929794029i</v>
      </c>
      <c r="BJ260" s="68">
        <f t="shared" si="257"/>
        <v>29.2879681485829</v>
      </c>
      <c r="BK260" s="31">
        <f t="shared" si="264"/>
        <v>97.1805641717083</v>
      </c>
      <c r="BL260" s="32">
        <f t="shared" si="258"/>
        <v>9.30992023898781</v>
      </c>
      <c r="BM260" s="31">
        <f t="shared" si="259"/>
        <v>71.1566387238793</v>
      </c>
      <c r="BO260">
        <f t="shared" si="260"/>
        <v>0</v>
      </c>
      <c r="BP260">
        <f t="shared" si="261"/>
        <v>0</v>
      </c>
    </row>
    <row r="261" spans="14:68">
      <c r="N261" s="7">
        <v>43</v>
      </c>
      <c r="O261" s="18">
        <f t="shared" si="262"/>
        <v>2691.53480392692</v>
      </c>
      <c r="P261" s="86" t="str">
        <f t="shared" si="212"/>
        <v>96,0576923076923</v>
      </c>
      <c r="Q261" s="4" t="str">
        <f t="shared" si="213"/>
        <v>1+22,5741331759357i</v>
      </c>
      <c r="R261" s="4">
        <f t="shared" si="224"/>
        <v>22.5962715651251</v>
      </c>
      <c r="S261" s="4">
        <f t="shared" si="225"/>
        <v>1.52652677976158</v>
      </c>
      <c r="T261" s="4" t="str">
        <f t="shared" si="214"/>
        <v>1+0,265170939121923i</v>
      </c>
      <c r="U261" s="4">
        <f t="shared" si="226"/>
        <v>1.03456059607681</v>
      </c>
      <c r="V261" s="4">
        <f t="shared" si="227"/>
        <v>0.259205446329755</v>
      </c>
      <c r="W261" t="str">
        <f t="shared" si="215"/>
        <v>1-0,12589606661826i</v>
      </c>
      <c r="X261" s="4">
        <f t="shared" si="228"/>
        <v>1.00789375411794</v>
      </c>
      <c r="Y261" s="4">
        <f t="shared" si="229"/>
        <v>-0.125237178004152</v>
      </c>
      <c r="Z261" t="str">
        <f t="shared" si="216"/>
        <v>0,999940862370606+0,215809809005905i</v>
      </c>
      <c r="AA261" s="4">
        <f t="shared" si="230"/>
        <v>1.02296412542261</v>
      </c>
      <c r="AB261" s="4">
        <f t="shared" si="231"/>
        <v>0.212562255791316</v>
      </c>
      <c r="AC261" s="67" t="str">
        <f t="shared" si="232"/>
        <v>-0,148704404074024-4,33061684511068i</v>
      </c>
      <c r="AD261" s="68">
        <f t="shared" si="233"/>
        <v>12.7361129375824</v>
      </c>
      <c r="AE261" s="31">
        <f t="shared" si="234"/>
        <v>-91.9666455709246</v>
      </c>
      <c r="AF261" s="32" t="str">
        <f t="shared" si="235"/>
        <v>236,914774604583</v>
      </c>
      <c r="AG261" s="32" t="str">
        <f t="shared" si="217"/>
        <v>1+5,57461633381315i</v>
      </c>
      <c r="AH261" s="32">
        <f t="shared" si="236"/>
        <v>5.66359843820308</v>
      </c>
      <c r="AI261" s="32">
        <f t="shared" si="237"/>
        <v>1.39329959506659</v>
      </c>
      <c r="AJ261" s="32" t="str">
        <f t="shared" si="218"/>
        <v>1+0,265170939121923i</v>
      </c>
      <c r="AK261" s="32">
        <f t="shared" si="238"/>
        <v>1.03456059607681</v>
      </c>
      <c r="AL261" s="32">
        <f t="shared" si="239"/>
        <v>0.259205446329755</v>
      </c>
      <c r="AM261" s="32" t="str">
        <f t="shared" si="219"/>
        <v>1-0,0126050222264898i</v>
      </c>
      <c r="AN261" s="32">
        <f t="shared" si="240"/>
        <v>1.0000794401373</v>
      </c>
      <c r="AO261" s="32">
        <f t="shared" si="241"/>
        <v>-0.0126043547004787</v>
      </c>
      <c r="AP261" s="30" t="str">
        <f t="shared" si="242"/>
        <v>17,8097813492272-39,4461007369615i</v>
      </c>
      <c r="AQ261" s="32">
        <f t="shared" si="243"/>
        <v>32.7258024829199</v>
      </c>
      <c r="AR261" s="31">
        <f t="shared" si="244"/>
        <v>-65.7009846209256</v>
      </c>
      <c r="AS261" t="str">
        <f t="shared" si="220"/>
        <v>-0,000272527472527473</v>
      </c>
      <c r="AT261" t="str">
        <f t="shared" si="221"/>
        <v>0,00379999426152399i</v>
      </c>
      <c r="AU261">
        <f t="shared" si="245"/>
        <v>0.00379999426152399</v>
      </c>
      <c r="AV261">
        <f t="shared" si="246"/>
        <v>1.5707963267949</v>
      </c>
      <c r="AW261" t="str">
        <f t="shared" si="222"/>
        <v>1+0,194552736310026i</v>
      </c>
      <c r="AX261">
        <f t="shared" si="247"/>
        <v>1.01874960967144</v>
      </c>
      <c r="AY261">
        <f t="shared" si="248"/>
        <v>0.192152361783309</v>
      </c>
      <c r="AZ261" t="str">
        <f t="shared" si="223"/>
        <v>1+9,30127656358784i</v>
      </c>
      <c r="BA261">
        <f t="shared" si="249"/>
        <v>9.35487817731201</v>
      </c>
      <c r="BB261">
        <f t="shared" si="250"/>
        <v>1.46369559242868</v>
      </c>
      <c r="BC261" s="30" t="str">
        <f t="shared" si="251"/>
        <v>-0,629295466817978+0,194149019248174i</v>
      </c>
      <c r="BD261" s="32">
        <f t="shared" si="252"/>
        <v>-3.62803942586522</v>
      </c>
      <c r="BE261" s="31">
        <f t="shared" si="253"/>
        <v>162.85406058441</v>
      </c>
      <c r="BF261" s="30" t="str">
        <f t="shared" si="254"/>
        <v>0,934364020597512+2,69636673494487i</v>
      </c>
      <c r="BG261" s="68">
        <f t="shared" si="255"/>
        <v>9.10807351171723</v>
      </c>
      <c r="BH261" s="31">
        <f t="shared" si="256"/>
        <v>70.8874150134851</v>
      </c>
      <c r="BI261" s="30" t="str">
        <f t="shared" si="263"/>
        <v>-3,5491928968423+28,2810039593921i</v>
      </c>
      <c r="BJ261" s="68">
        <f t="shared" si="257"/>
        <v>29.0977630570547</v>
      </c>
      <c r="BK261" s="31">
        <f t="shared" si="264"/>
        <v>97.1530759634841</v>
      </c>
      <c r="BL261" s="32">
        <f t="shared" si="258"/>
        <v>9.10807351171723</v>
      </c>
      <c r="BM261" s="31">
        <f t="shared" si="259"/>
        <v>70.8874150134851</v>
      </c>
      <c r="BO261">
        <f t="shared" si="260"/>
        <v>0</v>
      </c>
      <c r="BP261">
        <f t="shared" si="261"/>
        <v>0</v>
      </c>
    </row>
    <row r="262" spans="14:68">
      <c r="N262" s="7">
        <v>44</v>
      </c>
      <c r="O262" s="18">
        <f t="shared" si="262"/>
        <v>2754.22870333817</v>
      </c>
      <c r="P262" s="86" t="str">
        <f t="shared" si="212"/>
        <v>96,0576923076923</v>
      </c>
      <c r="Q262" s="4" t="str">
        <f t="shared" si="213"/>
        <v>1+23,0999522857475i</v>
      </c>
      <c r="R262" s="4">
        <f t="shared" si="224"/>
        <v>23.1215872206865</v>
      </c>
      <c r="S262" s="4">
        <f t="shared" si="225"/>
        <v>1.52753320613687</v>
      </c>
      <c r="T262" s="4" t="str">
        <f t="shared" si="214"/>
        <v>1+0,271347563759971i</v>
      </c>
      <c r="U262" s="4">
        <f t="shared" si="226"/>
        <v>1.03616094327014</v>
      </c>
      <c r="V262" s="4">
        <f t="shared" si="227"/>
        <v>0.264967409278855</v>
      </c>
      <c r="W262" t="str">
        <f t="shared" si="215"/>
        <v>1-0,128828562726177i</v>
      </c>
      <c r="X262" s="4">
        <f t="shared" si="228"/>
        <v>1.00826425036996</v>
      </c>
      <c r="Y262" s="4">
        <f t="shared" si="229"/>
        <v>-0.128122863020104</v>
      </c>
      <c r="Z262" t="str">
        <f t="shared" si="216"/>
        <v>0,999938075299998+0,220836665221191i</v>
      </c>
      <c r="AA262" s="4">
        <f t="shared" si="230"/>
        <v>1.02403368457326</v>
      </c>
      <c r="AB262" s="4">
        <f t="shared" si="231"/>
        <v>0.217361244902894</v>
      </c>
      <c r="AC262" s="67" t="str">
        <f t="shared" si="232"/>
        <v>-0,157859012278248-4,23545836243398i</v>
      </c>
      <c r="AD262" s="68">
        <f t="shared" si="233"/>
        <v>12.5440369932282</v>
      </c>
      <c r="AE262" s="31">
        <f t="shared" si="234"/>
        <v>-92.1344727903657</v>
      </c>
      <c r="AF262" s="32" t="str">
        <f t="shared" si="235"/>
        <v>236,914774604583</v>
      </c>
      <c r="AG262" s="32" t="str">
        <f t="shared" si="217"/>
        <v>1+5,70446582904483i</v>
      </c>
      <c r="AH262" s="32">
        <f t="shared" si="236"/>
        <v>5.79145321959352</v>
      </c>
      <c r="AI262" s="32">
        <f t="shared" si="237"/>
        <v>1.39725837530879</v>
      </c>
      <c r="AJ262" s="32" t="str">
        <f t="shared" si="218"/>
        <v>1+0,271347563759971i</v>
      </c>
      <c r="AK262" s="32">
        <f t="shared" si="238"/>
        <v>1.03616094327014</v>
      </c>
      <c r="AL262" s="32">
        <f t="shared" si="239"/>
        <v>0.264967409278855</v>
      </c>
      <c r="AM262" s="32" t="str">
        <f t="shared" si="219"/>
        <v>1-0,0128986309119102i</v>
      </c>
      <c r="AN262" s="32">
        <f t="shared" si="240"/>
        <v>1.00008318387992</v>
      </c>
      <c r="AO262" s="32">
        <f t="shared" si="241"/>
        <v>-0.0128979156481157</v>
      </c>
      <c r="AP262" s="30" t="str">
        <f t="shared" si="242"/>
        <v>17,5019157032448-38,6087093994899i</v>
      </c>
      <c r="AQ262" s="32">
        <f t="shared" si="243"/>
        <v>32.5453587096119</v>
      </c>
      <c r="AR262" s="31">
        <f t="shared" si="244"/>
        <v>-65.614489665459</v>
      </c>
      <c r="AS262" t="str">
        <f t="shared" si="220"/>
        <v>-0,000272527472527473</v>
      </c>
      <c r="AT262" t="str">
        <f t="shared" si="221"/>
        <v>0,00388850749852457i</v>
      </c>
      <c r="AU262">
        <f t="shared" si="245"/>
        <v>0.00388850749852457</v>
      </c>
      <c r="AV262">
        <f t="shared" si="246"/>
        <v>1.5707963267949</v>
      </c>
      <c r="AW262" t="str">
        <f t="shared" si="222"/>
        <v>1+0,199084451695096i</v>
      </c>
      <c r="AX262">
        <f t="shared" si="247"/>
        <v>1.01962474416166</v>
      </c>
      <c r="AY262">
        <f t="shared" si="248"/>
        <v>0.196515070143651</v>
      </c>
      <c r="AZ262" t="str">
        <f t="shared" si="223"/>
        <v>1+9,51793112678467i</v>
      </c>
      <c r="BA262">
        <f t="shared" si="249"/>
        <v>9.57031937472394</v>
      </c>
      <c r="BB262">
        <f t="shared" si="250"/>
        <v>1.46611552740779</v>
      </c>
      <c r="BC262" s="30" t="str">
        <f t="shared" si="251"/>
        <v>-0,628215693435573+0,195153343208099i</v>
      </c>
      <c r="BD262" s="32">
        <f t="shared" si="252"/>
        <v>-3.63773175187355</v>
      </c>
      <c r="BE262" s="31">
        <f t="shared" si="253"/>
        <v>162.742747869115</v>
      </c>
      <c r="BF262" s="30" t="str">
        <f t="shared" si="254"/>
        <v>0,925733368311126+2,62997469817233i</v>
      </c>
      <c r="BG262" s="68">
        <f t="shared" si="255"/>
        <v>8.90630524135463</v>
      </c>
      <c r="BH262" s="31">
        <f t="shared" si="256"/>
        <v>70.6082750787488</v>
      </c>
      <c r="BI262" s="30" t="str">
        <f t="shared" si="263"/>
        <v>-3,46035939370447+27,6701545100876i</v>
      </c>
      <c r="BJ262" s="68">
        <f t="shared" si="257"/>
        <v>28.9076269577383</v>
      </c>
      <c r="BK262" s="31">
        <f t="shared" si="264"/>
        <v>97.1282582036556</v>
      </c>
      <c r="BL262" s="32">
        <f t="shared" si="258"/>
        <v>8.90630524135463</v>
      </c>
      <c r="BM262" s="31">
        <f t="shared" si="259"/>
        <v>70.6082750787488</v>
      </c>
      <c r="BO262">
        <f t="shared" si="260"/>
        <v>0</v>
      </c>
      <c r="BP262">
        <f t="shared" si="261"/>
        <v>0</v>
      </c>
    </row>
    <row r="263" spans="14:68">
      <c r="N263" s="7">
        <v>45</v>
      </c>
      <c r="O263" s="18">
        <f t="shared" si="262"/>
        <v>2818.38293126446</v>
      </c>
      <c r="P263" s="86" t="str">
        <f t="shared" si="212"/>
        <v>96,0576923076923</v>
      </c>
      <c r="Q263" s="4" t="str">
        <f t="shared" si="213"/>
        <v>1+23,6380192960252i</v>
      </c>
      <c r="R263" s="4">
        <f t="shared" si="224"/>
        <v>23.6591622049315</v>
      </c>
      <c r="S263" s="4">
        <f t="shared" si="225"/>
        <v>1.52851680819819</v>
      </c>
      <c r="T263" s="4" t="str">
        <f t="shared" si="214"/>
        <v>1+0,277668060468033i</v>
      </c>
      <c r="U263" s="4">
        <f t="shared" si="226"/>
        <v>1.03783406756768</v>
      </c>
      <c r="V263" s="4">
        <f t="shared" si="227"/>
        <v>0.270844989553135</v>
      </c>
      <c r="W263" t="str">
        <f t="shared" si="215"/>
        <v>1-0,131829365443298i</v>
      </c>
      <c r="X263" s="4">
        <f t="shared" si="228"/>
        <v>1.00865206171067</v>
      </c>
      <c r="Y263" s="4">
        <f t="shared" si="229"/>
        <v>-0.131073544461544</v>
      </c>
      <c r="Z263" t="str">
        <f t="shared" si="216"/>
        <v>0,999935156878798+0,225980611959496i</v>
      </c>
      <c r="AA263" s="4">
        <f t="shared" si="230"/>
        <v>1.02515245448851</v>
      </c>
      <c r="AB263" s="4">
        <f t="shared" si="231"/>
        <v>0.22226154888927</v>
      </c>
      <c r="AC263" s="67" t="str">
        <f t="shared" si="232"/>
        <v>-0,166662152771961-4,14249923002886i</v>
      </c>
      <c r="AD263" s="68">
        <f t="shared" si="233"/>
        <v>12.3522726896036</v>
      </c>
      <c r="AE263" s="31">
        <f t="shared" si="234"/>
        <v>-92.3038968237669</v>
      </c>
      <c r="AF263" s="32" t="str">
        <f t="shared" si="235"/>
        <v>236,914774604583</v>
      </c>
      <c r="AG263" s="32" t="str">
        <f t="shared" si="217"/>
        <v>1+5,8373399075666i</v>
      </c>
      <c r="AH263" s="32">
        <f t="shared" si="236"/>
        <v>5.92237597560891</v>
      </c>
      <c r="AI263" s="32">
        <f t="shared" si="237"/>
        <v>1.40113235932656</v>
      </c>
      <c r="AJ263" s="32" t="str">
        <f t="shared" si="218"/>
        <v>1+0,277668060468033i</v>
      </c>
      <c r="AK263" s="32">
        <f t="shared" si="238"/>
        <v>1.03783406756768</v>
      </c>
      <c r="AL263" s="32">
        <f t="shared" si="239"/>
        <v>0.270844989553135</v>
      </c>
      <c r="AM263" s="32" t="str">
        <f t="shared" si="219"/>
        <v>1-0,0131990786221736i</v>
      </c>
      <c r="AN263" s="32">
        <f t="shared" si="240"/>
        <v>1.00008710404468</v>
      </c>
      <c r="AO263" s="32">
        <f t="shared" si="241"/>
        <v>-0.0131983122068146</v>
      </c>
      <c r="AP263" s="30" t="str">
        <f t="shared" si="242"/>
        <v>17,207097573335-37,7870681343052i</v>
      </c>
      <c r="AQ263" s="32">
        <f t="shared" si="243"/>
        <v>32.3652384074673</v>
      </c>
      <c r="AR263" s="31">
        <f t="shared" si="244"/>
        <v>-65.5169035111062</v>
      </c>
      <c r="AS263" t="str">
        <f t="shared" si="220"/>
        <v>-0,000272527472527473</v>
      </c>
      <c r="AT263" t="str">
        <f t="shared" si="221"/>
        <v>0,00397908247367136i</v>
      </c>
      <c r="AU263">
        <f t="shared" si="245"/>
        <v>0.00397908247367136</v>
      </c>
      <c r="AV263">
        <f t="shared" si="246"/>
        <v>1.5707963267949</v>
      </c>
      <c r="AW263" t="str">
        <f t="shared" si="222"/>
        <v>1+0,203721724291648i</v>
      </c>
      <c r="AX263">
        <f t="shared" si="247"/>
        <v>1.02054031813954</v>
      </c>
      <c r="AY263">
        <f t="shared" si="248"/>
        <v>0.200971566239704</v>
      </c>
      <c r="AZ263" t="str">
        <f t="shared" si="223"/>
        <v>1+9,73963222304962i</v>
      </c>
      <c r="BA263">
        <f t="shared" si="249"/>
        <v>9.79083427703005</v>
      </c>
      <c r="BB263">
        <f t="shared" si="250"/>
        <v>1.46848156758592</v>
      </c>
      <c r="BC263" s="30" t="str">
        <f t="shared" si="251"/>
        <v>-0,627088996289356+0,196241680234514i</v>
      </c>
      <c r="BD263" s="32">
        <f t="shared" si="252"/>
        <v>-3.64766239146273</v>
      </c>
      <c r="BE263" s="31">
        <f t="shared" si="253"/>
        <v>162.62297356776</v>
      </c>
      <c r="BF263" s="30" t="str">
        <f t="shared" si="254"/>
        <v>0,917443011372236+2,56500962339676i</v>
      </c>
      <c r="BG263" s="68">
        <f t="shared" si="255"/>
        <v>8.70461029814092</v>
      </c>
      <c r="BH263" s="31">
        <f t="shared" si="256"/>
        <v>70.3190767439927</v>
      </c>
      <c r="BI263" s="30" t="str">
        <f t="shared" si="263"/>
        <v>-3,37498380450354+27,0726043688094i</v>
      </c>
      <c r="BJ263" s="68">
        <f t="shared" si="257"/>
        <v>28.7175760160045</v>
      </c>
      <c r="BK263" s="31">
        <f t="shared" si="264"/>
        <v>97.1060700566535</v>
      </c>
      <c r="BL263" s="32">
        <f t="shared" si="258"/>
        <v>8.70461029814092</v>
      </c>
      <c r="BM263" s="31">
        <f t="shared" si="259"/>
        <v>70.3190767439927</v>
      </c>
      <c r="BO263">
        <f t="shared" si="260"/>
        <v>0</v>
      </c>
      <c r="BP263">
        <f t="shared" si="261"/>
        <v>0</v>
      </c>
    </row>
    <row r="264" spans="14:68">
      <c r="N264" s="7">
        <v>46</v>
      </c>
      <c r="O264" s="18">
        <f t="shared" si="262"/>
        <v>2884.03150312661</v>
      </c>
      <c r="P264" s="86" t="str">
        <f t="shared" si="212"/>
        <v>96,0576923076923</v>
      </c>
      <c r="Q264" s="4" t="str">
        <f t="shared" si="213"/>
        <v>1+24,1886194970198i</v>
      </c>
      <c r="R264" s="4">
        <f t="shared" si="224"/>
        <v>24.2092815500916</v>
      </c>
      <c r="S264" s="4">
        <f t="shared" si="225"/>
        <v>1.52947809984719</v>
      </c>
      <c r="T264" s="4" t="str">
        <f t="shared" si="214"/>
        <v>1+0,284135780457127i</v>
      </c>
      <c r="U264" s="4">
        <f t="shared" si="226"/>
        <v>1.03958315768195</v>
      </c>
      <c r="V264" s="4">
        <f t="shared" si="227"/>
        <v>0.276839678498291</v>
      </c>
      <c r="W264" t="str">
        <f t="shared" si="215"/>
        <v>1-0,134900065834946i</v>
      </c>
      <c r="X264" s="4">
        <f t="shared" si="228"/>
        <v>1.00905799028712</v>
      </c>
      <c r="Y264" s="4">
        <f t="shared" si="229"/>
        <v>-0.134090581188354</v>
      </c>
      <c r="Z264" t="str">
        <f t="shared" si="216"/>
        <v>0,999932100916645+0,231244376609469i</v>
      </c>
      <c r="AA264" s="4">
        <f t="shared" si="230"/>
        <v>1.0263226433033</v>
      </c>
      <c r="AB264" s="4">
        <f t="shared" si="231"/>
        <v>0.227264827926995</v>
      </c>
      <c r="AC264" s="67" t="str">
        <f t="shared" si="232"/>
        <v>-0,175131905139223-4,05169149264042i</v>
      </c>
      <c r="AD264" s="68">
        <f t="shared" si="233"/>
        <v>12.1608339528151</v>
      </c>
      <c r="AE264" s="31">
        <f t="shared" si="234"/>
        <v>-92.4750346457544</v>
      </c>
      <c r="AF264" s="32" t="str">
        <f t="shared" si="235"/>
        <v>236,914774604583</v>
      </c>
      <c r="AG264" s="32" t="str">
        <f t="shared" si="217"/>
        <v>1+5,97330902097369i</v>
      </c>
      <c r="AH264" s="32">
        <f t="shared" si="236"/>
        <v>6.05643630033749</v>
      </c>
      <c r="AI264" s="32">
        <f t="shared" si="237"/>
        <v>1.40492313580687</v>
      </c>
      <c r="AJ264" s="32" t="str">
        <f t="shared" si="218"/>
        <v>1+0,284135780457127i</v>
      </c>
      <c r="AK264" s="32">
        <f t="shared" si="238"/>
        <v>1.03958315768195</v>
      </c>
      <c r="AL264" s="32">
        <f t="shared" si="239"/>
        <v>0.276839678498291</v>
      </c>
      <c r="AM264" s="32" t="str">
        <f t="shared" si="219"/>
        <v>1-0,013506524658633i</v>
      </c>
      <c r="AN264" s="32">
        <f t="shared" si="240"/>
        <v>1.00009120894464</v>
      </c>
      <c r="AO264" s="32">
        <f t="shared" si="241"/>
        <v>-0.013505703433825</v>
      </c>
      <c r="AP264" s="30" t="str">
        <f t="shared" si="242"/>
        <v>16,9248079041383-36,9810385931297i</v>
      </c>
      <c r="AQ264" s="32">
        <f t="shared" si="243"/>
        <v>32.1854767212333</v>
      </c>
      <c r="AR264" s="31">
        <f t="shared" si="244"/>
        <v>-65.4082408484216</v>
      </c>
      <c r="AS264" t="str">
        <f t="shared" si="220"/>
        <v>-0,000272527472527473</v>
      </c>
      <c r="AT264" t="str">
        <f t="shared" si="221"/>
        <v>0,00407176721101507i</v>
      </c>
      <c r="AU264">
        <f t="shared" si="245"/>
        <v>0.00407176721101507</v>
      </c>
      <c r="AV264">
        <f t="shared" si="246"/>
        <v>1.5707963267949</v>
      </c>
      <c r="AW264" t="str">
        <f t="shared" si="222"/>
        <v>1+0,208467012842995i</v>
      </c>
      <c r="AX264">
        <f t="shared" si="247"/>
        <v>1.02149816223216</v>
      </c>
      <c r="AY264">
        <f t="shared" si="248"/>
        <v>0.205523504567431</v>
      </c>
      <c r="AZ264" t="str">
        <f t="shared" si="223"/>
        <v>1+9,9664974012385i</v>
      </c>
      <c r="BA264">
        <f t="shared" si="249"/>
        <v>10.0165398441225</v>
      </c>
      <c r="BB264">
        <f t="shared" si="250"/>
        <v>1.47079486144749</v>
      </c>
      <c r="BC264" s="30" t="str">
        <f t="shared" si="251"/>
        <v>-0,62591352304666+0,197413327685353i</v>
      </c>
      <c r="BD264" s="32">
        <f t="shared" si="252"/>
        <v>-3.65785037981011</v>
      </c>
      <c r="BE264" s="31">
        <f t="shared" si="253"/>
        <v>162.494708688019</v>
      </c>
      <c r="BF264" s="30" t="str">
        <f t="shared" si="254"/>
        <v>0,909475328060145+2,50143512427934i</v>
      </c>
      <c r="BG264" s="68">
        <f t="shared" si="255"/>
        <v>8.50298357300498</v>
      </c>
      <c r="BH264" s="31">
        <f t="shared" si="256"/>
        <v>70.0196740422642</v>
      </c>
      <c r="BI264" s="30" t="str">
        <f t="shared" si="263"/>
        <v>-3,29291625223696+26,4881148005416i</v>
      </c>
      <c r="BJ264" s="68">
        <f t="shared" si="257"/>
        <v>28.5276263414232</v>
      </c>
      <c r="BK264" s="31">
        <f t="shared" si="264"/>
        <v>97.0864678395969</v>
      </c>
      <c r="BL264" s="32">
        <f t="shared" si="258"/>
        <v>8.50298357300498</v>
      </c>
      <c r="BM264" s="31">
        <f t="shared" si="259"/>
        <v>70.0196740422642</v>
      </c>
      <c r="BO264">
        <f t="shared" si="260"/>
        <v>0</v>
      </c>
      <c r="BP264">
        <f t="shared" si="261"/>
        <v>0</v>
      </c>
    </row>
    <row r="265" spans="14:68">
      <c r="N265" s="7">
        <v>47</v>
      </c>
      <c r="O265" s="18">
        <f t="shared" si="262"/>
        <v>2951.20922666639</v>
      </c>
      <c r="P265" s="86" t="str">
        <f t="shared" si="212"/>
        <v>96,0576923076923</v>
      </c>
      <c r="Q265" s="4" t="str">
        <f t="shared" si="213"/>
        <v>1+24,752044824246i</v>
      </c>
      <c r="R265" s="4">
        <f t="shared" si="224"/>
        <v>24.7722369393941</v>
      </c>
      <c r="S265" s="4">
        <f t="shared" si="225"/>
        <v>1.53041758366286</v>
      </c>
      <c r="T265" s="4" t="str">
        <f t="shared" si="214"/>
        <v>1+0,290754152998001i</v>
      </c>
      <c r="U265" s="4">
        <f t="shared" si="226"/>
        <v>1.04141153128126</v>
      </c>
      <c r="V265" s="4">
        <f t="shared" si="227"/>
        <v>0.282952930482229</v>
      </c>
      <c r="W265" t="str">
        <f t="shared" si="215"/>
        <v>1-0,138042292027112i</v>
      </c>
      <c r="X265" s="4">
        <f t="shared" si="228"/>
        <v>1.00948287473741</v>
      </c>
      <c r="Y265" s="4">
        <f t="shared" si="229"/>
        <v>-0.137175353056258</v>
      </c>
      <c r="Z265" t="str">
        <f t="shared" si="216"/>
        <v>0,999928900931432+0,236630750088801i</v>
      </c>
      <c r="AA265" s="4">
        <f t="shared" si="230"/>
        <v>1.02754655310868</v>
      </c>
      <c r="AB265" s="4">
        <f t="shared" si="231"/>
        <v>0.232372736418697</v>
      </c>
      <c r="AC265" s="67" t="str">
        <f t="shared" si="232"/>
        <v>-0,183285623209368-3,96298813895199i</v>
      </c>
      <c r="AD265" s="68">
        <f t="shared" si="233"/>
        <v>11.9697350982333</v>
      </c>
      <c r="AE265" s="31">
        <f t="shared" si="234"/>
        <v>-92.648005573039</v>
      </c>
      <c r="AF265" s="32" t="str">
        <f t="shared" si="235"/>
        <v>236,914774604583</v>
      </c>
      <c r="AG265" s="32" t="str">
        <f t="shared" si="217"/>
        <v>1+6,11244526188978i</v>
      </c>
      <c r="AH265" s="32">
        <f t="shared" si="236"/>
        <v>6.1937054401706</v>
      </c>
      <c r="AI265" s="32">
        <f t="shared" si="237"/>
        <v>1.40863227866333</v>
      </c>
      <c r="AJ265" s="32" t="str">
        <f t="shared" si="218"/>
        <v>1+0,290754152998001i</v>
      </c>
      <c r="AK265" s="32">
        <f t="shared" si="238"/>
        <v>1.04141153128126</v>
      </c>
      <c r="AL265" s="32">
        <f t="shared" si="239"/>
        <v>0.282952930482229</v>
      </c>
      <c r="AM265" s="32" t="str">
        <f t="shared" si="219"/>
        <v>1-0,0138211320332463i</v>
      </c>
      <c r="AN265" s="32">
        <f t="shared" si="240"/>
        <v>1.00009550728452</v>
      </c>
      <c r="AO265" s="32">
        <f t="shared" si="241"/>
        <v>-0.0138202520795492</v>
      </c>
      <c r="AP265" s="30" t="str">
        <f t="shared" si="242"/>
        <v>16,6545453732938-36,1904727134869i</v>
      </c>
      <c r="AQ265" s="32">
        <f t="shared" si="243"/>
        <v>32.0061091281769</v>
      </c>
      <c r="AR265" s="31">
        <f t="shared" si="244"/>
        <v>-65.2885178517799</v>
      </c>
      <c r="AS265" t="str">
        <f t="shared" si="220"/>
        <v>-0,000272527472527473</v>
      </c>
      <c r="AT265" t="str">
        <f t="shared" si="221"/>
        <v>0,00416661085323027i</v>
      </c>
      <c r="AU265">
        <f t="shared" si="245"/>
        <v>0.00416661085323027</v>
      </c>
      <c r="AV265">
        <f t="shared" si="246"/>
        <v>1.5707963267949</v>
      </c>
      <c r="AW265" t="str">
        <f t="shared" si="222"/>
        <v>1+0,213322833363939i</v>
      </c>
      <c r="AX265">
        <f t="shared" si="247"/>
        <v>1.02250018642268</v>
      </c>
      <c r="AY265">
        <f t="shared" si="248"/>
        <v>0.210172543735051</v>
      </c>
      <c r="AZ265" t="str">
        <f t="shared" si="223"/>
        <v>1+10,1986469482717i</v>
      </c>
      <c r="BA265">
        <f t="shared" si="249"/>
        <v>10.2475557854296</v>
      </c>
      <c r="BB265">
        <f t="shared" si="250"/>
        <v>1.47305653644372</v>
      </c>
      <c r="BC265" s="30" t="str">
        <f t="shared" si="251"/>
        <v>-0,624687365459363+0,198667548320793i</v>
      </c>
      <c r="BD265" s="32">
        <f t="shared" si="252"/>
        <v>-3.66831513868172</v>
      </c>
      <c r="BE265" s="31">
        <f t="shared" si="253"/>
        <v>162.357922796837</v>
      </c>
      <c r="BF265" s="30" t="str">
        <f t="shared" si="254"/>
        <v>0,901813350679212+2,43921571446317i</v>
      </c>
      <c r="BG265" s="68">
        <f t="shared" si="255"/>
        <v>8.30141995955161</v>
      </c>
      <c r="BH265" s="31">
        <f t="shared" si="256"/>
        <v>69.7099172237978</v>
      </c>
      <c r="BI265" s="30" t="str">
        <f t="shared" si="263"/>
        <v>-3,21401158560733+25,9164487518268i</v>
      </c>
      <c r="BJ265" s="68">
        <f t="shared" si="257"/>
        <v>28.3377939894952</v>
      </c>
      <c r="BK265" s="31">
        <f t="shared" si="264"/>
        <v>97.0694049450569</v>
      </c>
      <c r="BL265" s="32">
        <f t="shared" si="258"/>
        <v>8.30141995955161</v>
      </c>
      <c r="BM265" s="31">
        <f t="shared" si="259"/>
        <v>69.7099172237978</v>
      </c>
      <c r="BO265">
        <f t="shared" si="260"/>
        <v>0</v>
      </c>
      <c r="BP265">
        <f t="shared" si="261"/>
        <v>0</v>
      </c>
    </row>
    <row r="266" spans="14:68">
      <c r="N266" s="7">
        <v>48</v>
      </c>
      <c r="O266" s="18">
        <f t="shared" si="262"/>
        <v>3019.95172040202</v>
      </c>
      <c r="P266" s="86" t="str">
        <f t="shared" si="212"/>
        <v>96,0576923076923</v>
      </c>
      <c r="Q266" s="4" t="str">
        <f t="shared" si="213"/>
        <v>1+25,32859401327i</v>
      </c>
      <c r="R266" s="4">
        <f t="shared" si="224"/>
        <v>25.3483268617291</v>
      </c>
      <c r="S266" s="4">
        <f t="shared" si="225"/>
        <v>1.53133575113446</v>
      </c>
      <c r="T266" s="4" t="str">
        <f t="shared" si="214"/>
        <v>1+0,29752668723938i</v>
      </c>
      <c r="U266" s="4">
        <f t="shared" si="226"/>
        <v>1.04332263927303</v>
      </c>
      <c r="V266" s="4">
        <f t="shared" si="227"/>
        <v>0.289186158415539</v>
      </c>
      <c r="W266" t="str">
        <f t="shared" si="215"/>
        <v>1-0,141257710069717i</v>
      </c>
      <c r="X266" s="4">
        <f t="shared" si="228"/>
        <v>1.00992759178772</v>
      </c>
      <c r="Y266" s="4">
        <f t="shared" si="229"/>
        <v>-0.140329260695397</v>
      </c>
      <c r="Z266" t="str">
        <f t="shared" si="216"/>
        <v>0,999925550135563+0,242142588324008i</v>
      </c>
      <c r="AA266" s="4">
        <f t="shared" si="230"/>
        <v>1.02882658348925</v>
      </c>
      <c r="AB266" s="4">
        <f t="shared" si="231"/>
        <v>0.237586920303213</v>
      </c>
      <c r="AC266" s="67" t="str">
        <f t="shared" si="232"/>
        <v>-0,191139967568444-3,87634308375702i</v>
      </c>
      <c r="AD266" s="68">
        <f t="shared" si="233"/>
        <v>11.7789908369604</v>
      </c>
      <c r="AE266" s="31">
        <f t="shared" si="234"/>
        <v>-92.8229313676106</v>
      </c>
      <c r="AF266" s="32" t="str">
        <f t="shared" si="235"/>
        <v>236,914774604583</v>
      </c>
      <c r="AG266" s="32" t="str">
        <f t="shared" si="217"/>
        <v>1+6,25482240219151i</v>
      </c>
      <c r="AH266" s="32">
        <f t="shared" si="236"/>
        <v>6.33425633227428</v>
      </c>
      <c r="AI266" s="32">
        <f t="shared" si="237"/>
        <v>1.41226134609075</v>
      </c>
      <c r="AJ266" s="32" t="str">
        <f t="shared" si="218"/>
        <v>1+0,29752668723938i</v>
      </c>
      <c r="AK266" s="32">
        <f t="shared" si="238"/>
        <v>1.04332263927303</v>
      </c>
      <c r="AL266" s="32">
        <f t="shared" si="239"/>
        <v>0.289186158415539</v>
      </c>
      <c r="AM266" s="32" t="str">
        <f t="shared" si="219"/>
        <v>1-0,014143067555008i</v>
      </c>
      <c r="AN266" s="32">
        <f t="shared" si="240"/>
        <v>1.00010000817911</v>
      </c>
      <c r="AO266" s="32">
        <f t="shared" si="241"/>
        <v>-0.0141421246727261</v>
      </c>
      <c r="AP266" s="30" t="str">
        <f t="shared" si="242"/>
        <v>16,3958260429463-35,4152136517017i</v>
      </c>
      <c r="AQ266" s="32">
        <f t="shared" si="243"/>
        <v>31.8271714634567</v>
      </c>
      <c r="AR266" s="31">
        <f t="shared" si="244"/>
        <v>-65.1577523867473</v>
      </c>
      <c r="AS266" t="str">
        <f t="shared" si="220"/>
        <v>-0,000272527472527473</v>
      </c>
      <c r="AT266" t="str">
        <f t="shared" si="221"/>
        <v>0,00426366368767147i</v>
      </c>
      <c r="AU266">
        <f t="shared" si="245"/>
        <v>0.00426366368767147</v>
      </c>
      <c r="AV266">
        <f t="shared" si="246"/>
        <v>1.5707963267949</v>
      </c>
      <c r="AW266" t="str">
        <f t="shared" si="222"/>
        <v>1+0,218291760474794i</v>
      </c>
      <c r="AX266">
        <f t="shared" si="247"/>
        <v>1.02354838317062</v>
      </c>
      <c r="AY266">
        <f t="shared" si="248"/>
        <v>0.214920344491304</v>
      </c>
      <c r="AZ266" t="str">
        <f t="shared" si="223"/>
        <v>1+10,4362039529119i</v>
      </c>
      <c r="BA266">
        <f t="shared" si="249"/>
        <v>10.4840046235574</v>
      </c>
      <c r="BB266">
        <f t="shared" si="250"/>
        <v>1.47526769914293</v>
      </c>
      <c r="BC266" s="30" t="str">
        <f t="shared" si="251"/>
        <v>-0,623408559310239+0,200003565683929i</v>
      </c>
      <c r="BD266" s="32">
        <f t="shared" si="252"/>
        <v>-3.67907650138587</v>
      </c>
      <c r="BE266" s="31">
        <f t="shared" si="253"/>
        <v>162.212584142016</v>
      </c>
      <c r="BF266" s="30" t="str">
        <f t="shared" si="254"/>
        <v>0,89444073037409+2,37831678217877i</v>
      </c>
      <c r="BG266" s="68">
        <f t="shared" si="255"/>
        <v>8.09991433557448</v>
      </c>
      <c r="BH266" s="31">
        <f t="shared" si="256"/>
        <v>69.3896527744055</v>
      </c>
      <c r="BI266" s="30" t="str">
        <f t="shared" si="263"/>
        <v>-3,13812928233595+25,3573709911943i</v>
      </c>
      <c r="BJ266" s="68">
        <f t="shared" si="257"/>
        <v>28.1480949620708</v>
      </c>
      <c r="BK266" s="31">
        <f t="shared" si="264"/>
        <v>97.0548317552688</v>
      </c>
      <c r="BL266" s="32">
        <f t="shared" si="258"/>
        <v>8.09991433557448</v>
      </c>
      <c r="BM266" s="31">
        <f t="shared" si="259"/>
        <v>69.3896527744055</v>
      </c>
      <c r="BO266">
        <f t="shared" si="260"/>
        <v>0</v>
      </c>
      <c r="BP266">
        <f t="shared" si="261"/>
        <v>0</v>
      </c>
    </row>
    <row r="267" spans="14:68">
      <c r="N267" s="7">
        <v>49</v>
      </c>
      <c r="O267" s="18">
        <f t="shared" si="262"/>
        <v>3090.29543251359</v>
      </c>
      <c r="P267" s="86" t="str">
        <f t="shared" si="212"/>
        <v>96,0576923076923</v>
      </c>
      <c r="Q267" s="4" t="str">
        <f t="shared" si="213"/>
        <v>1+25,9185727581035i</v>
      </c>
      <c r="R267" s="4">
        <f t="shared" si="224"/>
        <v>25.9378567699242</v>
      </c>
      <c r="S267" s="4">
        <f t="shared" si="225"/>
        <v>1.53223308289064</v>
      </c>
      <c r="T267" s="4" t="str">
        <f t="shared" si="214"/>
        <v>1+0,304456974068565i</v>
      </c>
      <c r="U267" s="4">
        <f t="shared" si="226"/>
        <v>1.04532007015028</v>
      </c>
      <c r="V267" s="4">
        <f t="shared" si="227"/>
        <v>0.295540729058418</v>
      </c>
      <c r="W267" t="str">
        <f t="shared" si="215"/>
        <v>1-0,144548024819968i</v>
      </c>
      <c r="X267" s="4">
        <f t="shared" si="228"/>
        <v>1.01039305791328</v>
      </c>
      <c r="Y267" s="4">
        <f t="shared" si="229"/>
        <v>-0.143553725238934</v>
      </c>
      <c r="Z267" t="str">
        <f t="shared" si="216"/>
        <v>0,999922041421549+0,247782813764681i</v>
      </c>
      <c r="AA267" s="4">
        <f t="shared" si="230"/>
        <v>1.03016523515297</v>
      </c>
      <c r="AB267" s="4">
        <f t="shared" si="231"/>
        <v>0.242909014186653</v>
      </c>
      <c r="AC267" s="67" t="str">
        <f t="shared" si="232"/>
        <v>-0,198710936520636-3,79171114992222i</v>
      </c>
      <c r="AD267" s="68">
        <f t="shared" si="233"/>
        <v>11.5886162814956</v>
      </c>
      <c r="AE267" s="31">
        <f t="shared" si="234"/>
        <v>-92.999936338836</v>
      </c>
      <c r="AF267" s="32" t="str">
        <f t="shared" si="235"/>
        <v>236,914774604583</v>
      </c>
      <c r="AG267" s="32" t="str">
        <f t="shared" si="217"/>
        <v>1+6,40051593212324i</v>
      </c>
      <c r="AH267" s="32">
        <f t="shared" si="236"/>
        <v>6.47816364391665</v>
      </c>
      <c r="AI267" s="32">
        <f t="shared" si="237"/>
        <v>1.4158118797119</v>
      </c>
      <c r="AJ267" s="32" t="str">
        <f t="shared" si="218"/>
        <v>1+0,304456974068565i</v>
      </c>
      <c r="AK267" s="32">
        <f t="shared" si="238"/>
        <v>1.04532007015028</v>
      </c>
      <c r="AL267" s="32">
        <f t="shared" si="239"/>
        <v>0.295540729058418</v>
      </c>
      <c r="AM267" s="32" t="str">
        <f t="shared" si="219"/>
        <v>1-0,014472501918393i</v>
      </c>
      <c r="AN267" s="32">
        <f t="shared" si="240"/>
        <v>1.00010472117263</v>
      </c>
      <c r="AO267" s="32">
        <f t="shared" si="241"/>
        <v>-0.0144714916075389</v>
      </c>
      <c r="AP267" s="30" t="str">
        <f t="shared" si="242"/>
        <v>16,1481829929024-34,6550966626265i</v>
      </c>
      <c r="AQ267" s="32">
        <f t="shared" si="243"/>
        <v>31.648699943753</v>
      </c>
      <c r="AR267" s="31">
        <f t="shared" si="244"/>
        <v>-65.01596423508</v>
      </c>
      <c r="AS267" t="str">
        <f t="shared" si="220"/>
        <v>-0,000272527472527473</v>
      </c>
      <c r="AT267" t="str">
        <f t="shared" si="221"/>
        <v>0,00436297717303613i</v>
      </c>
      <c r="AU267">
        <f t="shared" si="245"/>
        <v>0.00436297717303613</v>
      </c>
      <c r="AV267">
        <f t="shared" si="246"/>
        <v>1.5707963267949</v>
      </c>
      <c r="AW267" t="str">
        <f t="shared" si="222"/>
        <v>1+0,223376428766485i</v>
      </c>
      <c r="AX267">
        <f t="shared" si="247"/>
        <v>1.02464483062594</v>
      </c>
      <c r="AY267">
        <f t="shared" si="248"/>
        <v>0.219768567603031</v>
      </c>
      <c r="AZ267" t="str">
        <f t="shared" si="223"/>
        <v>1+10,6792943710275i</v>
      </c>
      <c r="BA267">
        <f t="shared" si="249"/>
        <v>10.7260117594127</v>
      </c>
      <c r="BB267">
        <f t="shared" si="250"/>
        <v>1.47742943539804</v>
      </c>
      <c r="BC267" s="30" t="str">
        <f t="shared" si="251"/>
        <v>-0,622075084546811+0,201420559305501i</v>
      </c>
      <c r="BD267" s="32">
        <f t="shared" si="252"/>
        <v>-3.69015473742228</v>
      </c>
      <c r="BE267" s="31">
        <f t="shared" si="253"/>
        <v>162.058659783415</v>
      </c>
      <c r="BF267" s="30" t="str">
        <f t="shared" si="254"/>
        <v>0,887341703178689+2,31870456619084i</v>
      </c>
      <c r="BG267" s="68">
        <f t="shared" si="255"/>
        <v>7.89846154407334</v>
      </c>
      <c r="BH267" s="31">
        <f t="shared" si="256"/>
        <v>69.0587234445785</v>
      </c>
      <c r="BI267" s="30" t="str">
        <f t="shared" si="263"/>
        <v>-3,0651333480147+24,8106482365793i</v>
      </c>
      <c r="BJ267" s="68">
        <f t="shared" si="257"/>
        <v>27.9585452063307</v>
      </c>
      <c r="BK267" s="31">
        <f t="shared" si="264"/>
        <v>97.0426955483345</v>
      </c>
      <c r="BL267" s="32">
        <f t="shared" si="258"/>
        <v>7.89846154407334</v>
      </c>
      <c r="BM267" s="31">
        <f t="shared" si="259"/>
        <v>69.0587234445785</v>
      </c>
      <c r="BO267">
        <f t="shared" si="260"/>
        <v>0</v>
      </c>
      <c r="BP267">
        <f t="shared" si="261"/>
        <v>0</v>
      </c>
    </row>
    <row r="268" spans="14:68">
      <c r="N268" s="7">
        <v>50</v>
      </c>
      <c r="O268" s="18">
        <f t="shared" si="262"/>
        <v>3162.27766016838</v>
      </c>
      <c r="P268" s="86" t="str">
        <f t="shared" si="212"/>
        <v>96,0576923076923</v>
      </c>
      <c r="Q268" s="4" t="str">
        <f t="shared" si="213"/>
        <v>1+26,5222938732861i</v>
      </c>
      <c r="R268" s="4">
        <f t="shared" si="224"/>
        <v>26.5411392427105</v>
      </c>
      <c r="S268" s="4">
        <f t="shared" si="225"/>
        <v>1.533110048925</v>
      </c>
      <c r="T268" s="4" t="str">
        <f t="shared" si="214"/>
        <v>1+0,311548688015366i</v>
      </c>
      <c r="U268" s="4">
        <f t="shared" si="226"/>
        <v>1.04740755439518</v>
      </c>
      <c r="V268" s="4">
        <f t="shared" si="227"/>
        <v>0.302017958114375</v>
      </c>
      <c r="W268" t="str">
        <f t="shared" si="215"/>
        <v>1-0,147914980846298i</v>
      </c>
      <c r="X268" s="4">
        <f t="shared" si="228"/>
        <v>1.01088023106536</v>
      </c>
      <c r="Y268" s="4">
        <f t="shared" si="229"/>
        <v>-0.146850187998032</v>
      </c>
      <c r="Z268" t="str">
        <f t="shared" si="216"/>
        <v>0,999918367346939+0,253554416933005i</v>
      </c>
      <c r="AA268" s="4">
        <f t="shared" si="230"/>
        <v>1.03156511365207</v>
      </c>
      <c r="AB268" s="4">
        <f t="shared" si="231"/>
        <v>0.24834063828851</v>
      </c>
      <c r="AC268" s="67" t="str">
        <f t="shared" si="232"/>
        <v>-0,206013895543053-3,7090480501786i</v>
      </c>
      <c r="AD268" s="68">
        <f t="shared" si="233"/>
        <v>11.3986269505313</v>
      </c>
      <c r="AE268" s="31">
        <f t="shared" si="234"/>
        <v>-93.1791474438916</v>
      </c>
      <c r="AF268" s="32" t="str">
        <f t="shared" si="235"/>
        <v>236,914774604583</v>
      </c>
      <c r="AG268" s="32" t="str">
        <f t="shared" si="217"/>
        <v>1+6,54960310032302i</v>
      </c>
      <c r="AH268" s="32">
        <f t="shared" si="236"/>
        <v>6.62550381267424</v>
      </c>
      <c r="AI268" s="32">
        <f t="shared" si="237"/>
        <v>1.41928540381117</v>
      </c>
      <c r="AJ268" s="32" t="str">
        <f t="shared" si="218"/>
        <v>1+0,311548688015366i</v>
      </c>
      <c r="AK268" s="32">
        <f t="shared" si="238"/>
        <v>1.04740755439518</v>
      </c>
      <c r="AL268" s="32">
        <f t="shared" si="239"/>
        <v>0.302017958114375</v>
      </c>
      <c r="AM268" s="32" t="str">
        <f t="shared" si="219"/>
        <v>1-0,0148096097938613i</v>
      </c>
      <c r="AN268" s="32">
        <f t="shared" si="240"/>
        <v>1.00010965625888</v>
      </c>
      <c r="AO268" s="32">
        <f t="shared" si="241"/>
        <v>-0.0148085272326874</v>
      </c>
      <c r="AP268" s="30" t="str">
        <f t="shared" si="242"/>
        <v>15,9111659385988-33,9099499279812i</v>
      </c>
      <c r="AQ268" s="32">
        <f t="shared" si="243"/>
        <v>31.470731188974</v>
      </c>
      <c r="AR268" s="31">
        <f t="shared" si="244"/>
        <v>-64.8631753370258</v>
      </c>
      <c r="AS268" t="str">
        <f t="shared" si="220"/>
        <v>-0,000272527472527473</v>
      </c>
      <c r="AT268" t="str">
        <f t="shared" si="221"/>
        <v>0,00446460396664877i</v>
      </c>
      <c r="AU268">
        <f t="shared" si="245"/>
        <v>0.00446460396664877</v>
      </c>
      <c r="AV268">
        <f t="shared" si="246"/>
        <v>1.5707963267949</v>
      </c>
      <c r="AW268" t="str">
        <f t="shared" si="222"/>
        <v>1+0,228579534197445i</v>
      </c>
      <c r="AX268">
        <f t="shared" si="247"/>
        <v>1.0257916959373</v>
      </c>
      <c r="AY268">
        <f t="shared" si="248"/>
        <v>0.224718871575533</v>
      </c>
      <c r="AZ268" t="str">
        <f t="shared" si="223"/>
        <v>1+10,9280470923757i</v>
      </c>
      <c r="BA268">
        <f t="shared" si="249"/>
        <v>10.9737055388406</v>
      </c>
      <c r="BB268">
        <f t="shared" si="250"/>
        <v>1.47954281052954</v>
      </c>
      <c r="BC268" s="30" t="str">
        <f t="shared" si="251"/>
        <v>-0,620684865622366+0,202917659733207i</v>
      </c>
      <c r="BD268" s="32">
        <f t="shared" si="252"/>
        <v>-3.7015705767752</v>
      </c>
      <c r="BE268" s="31">
        <f t="shared" si="253"/>
        <v>161.896115734047</v>
      </c>
      <c r="BF268" s="30" t="str">
        <f t="shared" si="254"/>
        <v>0,880501057251736+2,26034613305589i</v>
      </c>
      <c r="BG268" s="68">
        <f t="shared" si="255"/>
        <v>7.69705637375615</v>
      </c>
      <c r="BH268" s="31">
        <f t="shared" si="256"/>
        <v>68.716968290155</v>
      </c>
      <c r="BI268" s="30" t="str">
        <f t="shared" si="263"/>
        <v>-2,99489221143819+24,2760492701974i</v>
      </c>
      <c r="BJ268" s="68">
        <f t="shared" si="257"/>
        <v>27.7691606121988</v>
      </c>
      <c r="BK268" s="31">
        <f t="shared" si="264"/>
        <v>97.0329403970207</v>
      </c>
      <c r="BL268" s="32">
        <f t="shared" si="258"/>
        <v>7.69705637375615</v>
      </c>
      <c r="BM268" s="31">
        <f t="shared" si="259"/>
        <v>68.716968290155</v>
      </c>
      <c r="BO268">
        <f t="shared" si="260"/>
        <v>0</v>
      </c>
      <c r="BP268">
        <f t="shared" si="261"/>
        <v>0</v>
      </c>
    </row>
    <row r="269" spans="14:68">
      <c r="N269" s="7">
        <v>51</v>
      </c>
      <c r="O269" s="18">
        <f t="shared" si="262"/>
        <v>3235.93656929628</v>
      </c>
      <c r="P269" s="86" t="str">
        <f t="shared" si="212"/>
        <v>96,0576923076923</v>
      </c>
      <c r="Q269" s="4" t="str">
        <f t="shared" si="213"/>
        <v>1+27,1400774597444i</v>
      </c>
      <c r="R269" s="4">
        <f t="shared" si="224"/>
        <v>27.1584941504666</v>
      </c>
      <c r="S269" s="4">
        <f t="shared" si="225"/>
        <v>1.53396710881788</v>
      </c>
      <c r="T269" s="4" t="str">
        <f t="shared" si="214"/>
        <v>1+0,318805589200387i</v>
      </c>
      <c r="U269" s="4">
        <f t="shared" si="226"/>
        <v>1.04958896893279</v>
      </c>
      <c r="V269" s="4">
        <f t="shared" si="227"/>
        <v>0.308619105112336</v>
      </c>
      <c r="W269" t="str">
        <f t="shared" si="215"/>
        <v>1-0,151360363353358i</v>
      </c>
      <c r="X269" s="4">
        <f t="shared" si="228"/>
        <v>1.01139011246623</v>
      </c>
      <c r="Y269" s="4">
        <f t="shared" si="229"/>
        <v>-0.150220110079331</v>
      </c>
      <c r="Z269" t="str">
        <f t="shared" si="216"/>
        <v>0,999914520118526+0,259460458009376i</v>
      </c>
      <c r="AA269" s="4">
        <f t="shared" si="230"/>
        <v>1.03302893319321</v>
      </c>
      <c r="AB269" s="4">
        <f t="shared" si="231"/>
        <v>0.253883395197213</v>
      </c>
      <c r="AC269" s="67" t="str">
        <f t="shared" si="232"/>
        <v>-0,213063605275163-3,62831036877686i</v>
      </c>
      <c r="AD269" s="68">
        <f t="shared" si="233"/>
        <v>11.2090387728081</v>
      </c>
      <c r="AE269" s="31">
        <f t="shared" si="234"/>
        <v>-93.360694385897</v>
      </c>
      <c r="AF269" s="32" t="str">
        <f t="shared" si="235"/>
        <v>236,914774604583</v>
      </c>
      <c r="AG269" s="32" t="str">
        <f t="shared" si="217"/>
        <v>1+6,70216295478085i</v>
      </c>
      <c r="AH269" s="32">
        <f t="shared" si="236"/>
        <v>6.77635508754056</v>
      </c>
      <c r="AI269" s="32">
        <f t="shared" si="237"/>
        <v>1.42268342464982</v>
      </c>
      <c r="AJ269" s="32" t="str">
        <f t="shared" si="218"/>
        <v>1+0,318805589200387i</v>
      </c>
      <c r="AK269" s="32">
        <f t="shared" si="238"/>
        <v>1.04958896893279</v>
      </c>
      <c r="AL269" s="32">
        <f t="shared" si="239"/>
        <v>0.308619105112336</v>
      </c>
      <c r="AM269" s="32" t="str">
        <f t="shared" si="219"/>
        <v>1-0,0151545699204706i</v>
      </c>
      <c r="AN269" s="32">
        <f t="shared" si="240"/>
        <v>1.00011482390247</v>
      </c>
      <c r="AO269" s="32">
        <f t="shared" si="241"/>
        <v>-0.0151534099424664</v>
      </c>
      <c r="AP269" s="30" t="str">
        <f t="shared" si="242"/>
        <v>15,6843408367773-33,1795953352517i</v>
      </c>
      <c r="AQ269" s="32">
        <f t="shared" si="243"/>
        <v>31.2933022418574</v>
      </c>
      <c r="AR269" s="31">
        <f t="shared" si="244"/>
        <v>-64.6994100505467</v>
      </c>
      <c r="AS269" t="str">
        <f t="shared" si="220"/>
        <v>-0,000272527472527473</v>
      </c>
      <c r="AT269" t="str">
        <f t="shared" si="221"/>
        <v>0,00456859795238054i</v>
      </c>
      <c r="AU269">
        <f t="shared" si="245"/>
        <v>0.00456859795238054</v>
      </c>
      <c r="AV269">
        <f t="shared" si="246"/>
        <v>1.5707963267949</v>
      </c>
      <c r="AW269" t="str">
        <f t="shared" si="222"/>
        <v>1+0,233903835523044i</v>
      </c>
      <c r="AX269">
        <f t="shared" si="247"/>
        <v>1.02699123865415</v>
      </c>
      <c r="AY269">
        <f t="shared" si="248"/>
        <v>0.229772910209199</v>
      </c>
      <c r="AZ269" t="str">
        <f t="shared" si="223"/>
        <v>1+11,1825940089421i</v>
      </c>
      <c r="BA269">
        <f t="shared" si="249"/>
        <v>11.2272173208159</v>
      </c>
      <c r="BB269">
        <f t="shared" si="250"/>
        <v>1.48160886952256</v>
      </c>
      <c r="BC269" s="30" t="str">
        <f t="shared" si="251"/>
        <v>-0,61923577206505+0,204493943387495i</v>
      </c>
      <c r="BD269" s="32">
        <f t="shared" si="252"/>
        <v>-3.71334523379082</v>
      </c>
      <c r="BE269" s="31">
        <f t="shared" si="253"/>
        <v>161.724917111366</v>
      </c>
      <c r="BF269" s="30" t="str">
        <f t="shared" si="254"/>
        <v>0,873904101256445+2,20320935566609i</v>
      </c>
      <c r="BG269" s="68">
        <f t="shared" si="255"/>
        <v>7.49569353901725</v>
      </c>
      <c r="BH269" s="31">
        <f t="shared" si="256"/>
        <v>68.3642227254692</v>
      </c>
      <c r="BI269" s="30" t="str">
        <f t="shared" si="263"/>
        <v>-2,92727861728623+23,7533450413766i</v>
      </c>
      <c r="BJ269" s="68">
        <f t="shared" si="257"/>
        <v>27.5799570080665</v>
      </c>
      <c r="BK269" s="31">
        <f t="shared" si="264"/>
        <v>97.0255070608195</v>
      </c>
      <c r="BL269" s="32">
        <f t="shared" si="258"/>
        <v>7.49569353901725</v>
      </c>
      <c r="BM269" s="31">
        <f t="shared" si="259"/>
        <v>68.3642227254692</v>
      </c>
      <c r="BO269">
        <f t="shared" si="260"/>
        <v>0</v>
      </c>
      <c r="BP269">
        <f t="shared" si="261"/>
        <v>0</v>
      </c>
    </row>
    <row r="270" spans="14:68">
      <c r="N270" s="7">
        <v>52</v>
      </c>
      <c r="O270" s="18">
        <f t="shared" si="262"/>
        <v>3311.31121482591</v>
      </c>
      <c r="P270" s="86" t="str">
        <f t="shared" si="212"/>
        <v>96,0576923076923</v>
      </c>
      <c r="Q270" s="4" t="str">
        <f t="shared" si="213"/>
        <v>1+27,7722510745133i</v>
      </c>
      <c r="R270" s="4">
        <f t="shared" si="224"/>
        <v>27.7902488248271</v>
      </c>
      <c r="S270" s="4">
        <f t="shared" si="225"/>
        <v>1.53480471195446</v>
      </c>
      <c r="T270" s="4" t="str">
        <f t="shared" si="214"/>
        <v>1+0,326231525328692i</v>
      </c>
      <c r="U270" s="4">
        <f t="shared" si="226"/>
        <v>1.05186834162755</v>
      </c>
      <c r="V270" s="4">
        <f t="shared" si="227"/>
        <v>0.315345368080178</v>
      </c>
      <c r="W270" t="str">
        <f t="shared" si="215"/>
        <v>1-0,15488599912856i</v>
      </c>
      <c r="X270" s="4">
        <f t="shared" si="228"/>
        <v>1.01192374847419</v>
      </c>
      <c r="Y270" s="4">
        <f t="shared" si="229"/>
        <v>-0.153664971940847</v>
      </c>
      <c r="Z270" t="str">
        <f t="shared" si="216"/>
        <v>0,999910491575825+0,265504068454949i</v>
      </c>
      <c r="AA270" s="4">
        <f t="shared" si="230"/>
        <v>1.03455952053497</v>
      </c>
      <c r="AB270" s="4">
        <f t="shared" si="231"/>
        <v>0.25953886642991</v>
      </c>
      <c r="AC270" s="67" t="str">
        <f t="shared" si="232"/>
        <v>-0,219874248081202-3,54945554303986i</v>
      </c>
      <c r="AD270" s="68">
        <f t="shared" si="233"/>
        <v>11.0198680899552</v>
      </c>
      <c r="AE270" s="31">
        <f t="shared" si="234"/>
        <v>-93.5447097090392</v>
      </c>
      <c r="AF270" s="32" t="str">
        <f t="shared" si="235"/>
        <v>236,914774604583</v>
      </c>
      <c r="AG270" s="32" t="str">
        <f t="shared" si="217"/>
        <v>1+6,8582763847509i</v>
      </c>
      <c r="AH270" s="32">
        <f t="shared" si="236"/>
        <v>6.93079757096049</v>
      </c>
      <c r="AI270" s="32">
        <f t="shared" si="237"/>
        <v>1.42600742985807</v>
      </c>
      <c r="AJ270" s="32" t="str">
        <f t="shared" si="218"/>
        <v>1+0,326231525328692i</v>
      </c>
      <c r="AK270" s="32">
        <f t="shared" si="238"/>
        <v>1.05186834162755</v>
      </c>
      <c r="AL270" s="32">
        <f t="shared" si="239"/>
        <v>0.315345368080178</v>
      </c>
      <c r="AM270" s="32" t="str">
        <f t="shared" si="219"/>
        <v>1-0,0155075652006463i</v>
      </c>
      <c r="AN270" s="32">
        <f t="shared" si="240"/>
        <v>1.00012023506099</v>
      </c>
      <c r="AO270" s="32">
        <f t="shared" si="241"/>
        <v>-0.0155063222698914</v>
      </c>
      <c r="AP270" s="30" t="str">
        <f t="shared" si="242"/>
        <v>15,467289481501-32,4638492091051i</v>
      </c>
      <c r="AQ270" s="32">
        <f t="shared" si="243"/>
        <v>31.1164505852769</v>
      </c>
      <c r="AR270" s="31">
        <f t="shared" si="244"/>
        <v>-64.524695427006</v>
      </c>
      <c r="AS270" t="str">
        <f t="shared" si="220"/>
        <v>-0,000272527472527473</v>
      </c>
      <c r="AT270" t="str">
        <f t="shared" si="221"/>
        <v>0,00467501426921921i</v>
      </c>
      <c r="AU270">
        <f t="shared" si="245"/>
        <v>0.00467501426921921</v>
      </c>
      <c r="AV270">
        <f t="shared" si="246"/>
        <v>1.5707963267949</v>
      </c>
      <c r="AW270" t="str">
        <f t="shared" si="222"/>
        <v>1+0,239352155758321i</v>
      </c>
      <c r="AX270">
        <f t="shared" si="247"/>
        <v>1.02824581422253</v>
      </c>
      <c r="AY270">
        <f t="shared" si="248"/>
        <v>0.234932329986025</v>
      </c>
      <c r="AZ270" t="str">
        <f t="shared" si="223"/>
        <v>1+11,4430700848712i</v>
      </c>
      <c r="BA270">
        <f t="shared" si="249"/>
        <v>11.4866815472213</v>
      </c>
      <c r="BB270">
        <f t="shared" si="250"/>
        <v>1.48362863723645</v>
      </c>
      <c r="BC270" s="30" t="str">
        <f t="shared" si="251"/>
        <v>-0,617725619296835+0,206148427247108i</v>
      </c>
      <c r="BD270" s="32">
        <f t="shared" si="252"/>
        <v>-3.72550043057579</v>
      </c>
      <c r="BE270" s="31">
        <f t="shared" si="253"/>
        <v>161.545028299021</v>
      </c>
      <c r="BF270" s="30" t="str">
        <f t="shared" si="254"/>
        <v>0,867536633844583+2,1472628930568i</v>
      </c>
      <c r="BG270" s="68">
        <f t="shared" si="255"/>
        <v>7.29436765937944</v>
      </c>
      <c r="BH270" s="31">
        <f t="shared" si="256"/>
        <v>68.0003185899815</v>
      </c>
      <c r="BI270" s="30" t="str">
        <f t="shared" si="263"/>
        <v>-2,86216951695934+23,2423087578407i</v>
      </c>
      <c r="BJ270" s="68">
        <f t="shared" si="257"/>
        <v>27.3909501547011</v>
      </c>
      <c r="BK270" s="31">
        <f t="shared" si="264"/>
        <v>97.0203328720147</v>
      </c>
      <c r="BL270" s="32">
        <f t="shared" si="258"/>
        <v>7.29436765937944</v>
      </c>
      <c r="BM270" s="31">
        <f t="shared" si="259"/>
        <v>68.0003185899815</v>
      </c>
      <c r="BO270">
        <f t="shared" si="260"/>
        <v>0</v>
      </c>
      <c r="BP270">
        <f t="shared" si="261"/>
        <v>0</v>
      </c>
    </row>
    <row r="271" spans="14:68">
      <c r="N271" s="7">
        <v>53</v>
      </c>
      <c r="O271" s="18">
        <f t="shared" si="262"/>
        <v>3388.44156139203</v>
      </c>
      <c r="P271" s="86" t="str">
        <f t="shared" si="212"/>
        <v>96,0576923076923</v>
      </c>
      <c r="Q271" s="4" t="str">
        <f t="shared" si="213"/>
        <v>1+28,4191499044113i</v>
      </c>
      <c r="R271" s="4">
        <f t="shared" si="224"/>
        <v>28.4367382322481</v>
      </c>
      <c r="S271" s="4">
        <f t="shared" si="225"/>
        <v>1.53562329773917</v>
      </c>
      <c r="T271" s="4" t="str">
        <f t="shared" si="214"/>
        <v>1+0,333830433729914i</v>
      </c>
      <c r="U271" s="4">
        <f t="shared" si="226"/>
        <v>1.05424985581422</v>
      </c>
      <c r="V271" s="4">
        <f t="shared" si="227"/>
        <v>0.3221978780143</v>
      </c>
      <c r="W271" t="str">
        <f t="shared" si="215"/>
        <v>1-0,158493757510659i</v>
      </c>
      <c r="X271" s="4">
        <f t="shared" si="228"/>
        <v>1.01248223252057</v>
      </c>
      <c r="Y271" s="4">
        <f t="shared" si="229"/>
        <v>-0.15718627288205</v>
      </c>
      <c r="Z271" t="str">
        <f t="shared" si="216"/>
        <v>0,999906273173755+0,271688452671981i</v>
      </c>
      <c r="AA271" s="4">
        <f t="shared" si="230"/>
        <v>1.0361598189698</v>
      </c>
      <c r="AB271" s="4">
        <f t="shared" si="231"/>
        <v>0.265308608791758</v>
      </c>
      <c r="AC271" s="67" t="str">
        <f t="shared" si="232"/>
        <v>-0,22645945322264-3,47244184484723i</v>
      </c>
      <c r="AD271" s="68">
        <f t="shared" si="233"/>
        <v>10.8311316582479</v>
      </c>
      <c r="AE271" s="31">
        <f t="shared" si="234"/>
        <v>-93.7313288899141</v>
      </c>
      <c r="AF271" s="32" t="str">
        <f t="shared" si="235"/>
        <v>236,914774604583</v>
      </c>
      <c r="AG271" s="32" t="str">
        <f t="shared" si="217"/>
        <v>1+7,01802616364022i</v>
      </c>
      <c r="AH271" s="32">
        <f t="shared" si="236"/>
        <v>7.08891326181515</v>
      </c>
      <c r="AI271" s="32">
        <f t="shared" si="237"/>
        <v>1.42925888789917</v>
      </c>
      <c r="AJ271" s="32" t="str">
        <f t="shared" si="218"/>
        <v>1+0,333830433729914i</v>
      </c>
      <c r="AK271" s="32">
        <f t="shared" si="238"/>
        <v>1.05424985581422</v>
      </c>
      <c r="AL271" s="32">
        <f t="shared" si="239"/>
        <v>0.3221978780143</v>
      </c>
      <c r="AM271" s="32" t="str">
        <f t="shared" si="219"/>
        <v>1-0,0158687827971583i</v>
      </c>
      <c r="AN271" s="32">
        <f t="shared" si="240"/>
        <v>1.00012590120817</v>
      </c>
      <c r="AO271" s="32">
        <f t="shared" si="241"/>
        <v>-0.0158674509819142</v>
      </c>
      <c r="AP271" s="30" t="str">
        <f t="shared" si="242"/>
        <v>15,259609092905-31,7625229972948i</v>
      </c>
      <c r="AQ271" s="32">
        <f t="shared" si="243"/>
        <v>30.940214157061</v>
      </c>
      <c r="AR271" s="31">
        <f t="shared" si="244"/>
        <v>-64.3390615027883</v>
      </c>
      <c r="AS271" t="str">
        <f t="shared" si="220"/>
        <v>-0,000272527472527473</v>
      </c>
      <c r="AT271" t="str">
        <f t="shared" si="221"/>
        <v>0,00478390934050456i</v>
      </c>
      <c r="AU271">
        <f t="shared" si="245"/>
        <v>0.00478390934050456</v>
      </c>
      <c r="AV271">
        <f t="shared" si="246"/>
        <v>1.5707963267949</v>
      </c>
      <c r="AW271" t="str">
        <f t="shared" si="222"/>
        <v>1+0,244927383674783i</v>
      </c>
      <c r="AX271">
        <f t="shared" si="247"/>
        <v>1.02955787757356</v>
      </c>
      <c r="AY271">
        <f t="shared" si="248"/>
        <v>0.240198767279762</v>
      </c>
      <c r="AZ271" t="str">
        <f t="shared" si="223"/>
        <v>1+11,7096134280263i</v>
      </c>
      <c r="BA271">
        <f t="shared" si="249"/>
        <v>11.7522358142531</v>
      </c>
      <c r="BB271">
        <f t="shared" si="250"/>
        <v>1.48560311862576</v>
      </c>
      <c r="BC271" s="30" t="str">
        <f t="shared" si="251"/>
        <v>-0,616152169725408+0,207880063369383i</v>
      </c>
      <c r="BD271" s="32">
        <f t="shared" si="252"/>
        <v>-3.73805841984342</v>
      </c>
      <c r="BE271" s="31">
        <f t="shared" si="253"/>
        <v>161.356413119354</v>
      </c>
      <c r="BF271" s="30" t="str">
        <f t="shared" si="254"/>
        <v>0,861384914211298+2,0924761714614i</v>
      </c>
      <c r="BG271" s="68">
        <f t="shared" si="255"/>
        <v>7.0930732384045</v>
      </c>
      <c r="BH271" s="31">
        <f t="shared" si="256"/>
        <v>67.6250842294395</v>
      </c>
      <c r="BI271" s="30" t="str">
        <f t="shared" si="263"/>
        <v>-2,79944595830585+22,7427159659615i</v>
      </c>
      <c r="BJ271" s="68">
        <f t="shared" si="257"/>
        <v>27.2021557372175</v>
      </c>
      <c r="BK271" s="31">
        <f t="shared" si="264"/>
        <v>97.0173516165653</v>
      </c>
      <c r="BL271" s="32">
        <f t="shared" si="258"/>
        <v>7.0930732384045</v>
      </c>
      <c r="BM271" s="31">
        <f t="shared" si="259"/>
        <v>67.6250842294395</v>
      </c>
      <c r="BO271">
        <f t="shared" si="260"/>
        <v>0</v>
      </c>
      <c r="BP271">
        <f t="shared" si="261"/>
        <v>0</v>
      </c>
    </row>
    <row r="272" spans="14:68">
      <c r="N272" s="7">
        <v>54</v>
      </c>
      <c r="O272" s="18">
        <f t="shared" si="262"/>
        <v>3467.36850452532</v>
      </c>
      <c r="P272" s="86" t="str">
        <f t="shared" si="212"/>
        <v>96,0576923076923</v>
      </c>
      <c r="Q272" s="4" t="str">
        <f t="shared" si="213"/>
        <v>1+29,0811169437602i</v>
      </c>
      <c r="R272" s="4">
        <f t="shared" si="224"/>
        <v>29.0983051516176</v>
      </c>
      <c r="S272" s="4">
        <f t="shared" si="225"/>
        <v>1.53642329580637</v>
      </c>
      <c r="T272" s="4" t="str">
        <f t="shared" si="214"/>
        <v>1+0,341606343445864i</v>
      </c>
      <c r="U272" s="4">
        <f t="shared" si="226"/>
        <v>1.05673785485448</v>
      </c>
      <c r="V272" s="4">
        <f t="shared" si="227"/>
        <v>0.329177693151505</v>
      </c>
      <c r="W272" t="str">
        <f t="shared" si="215"/>
        <v>1-0,162185551380902i</v>
      </c>
      <c r="X272" s="4">
        <f t="shared" si="228"/>
        <v>1.01306670712087</v>
      </c>
      <c r="Y272" s="4">
        <f t="shared" si="229"/>
        <v>-0.160785530463639</v>
      </c>
      <c r="Z272" t="str">
        <f t="shared" si="216"/>
        <v>0,999901855964521+0,278016889702838i</v>
      </c>
      <c r="AA272" s="4">
        <f t="shared" si="230"/>
        <v>1.03783289238747</v>
      </c>
      <c r="AB272" s="4">
        <f t="shared" si="231"/>
        <v>0.271194150530545</v>
      </c>
      <c r="AC272" s="67" t="str">
        <f t="shared" si="232"/>
        <v>-0,232832320674787-3,39722836208262i</v>
      </c>
      <c r="AD272" s="68">
        <f t="shared" si="233"/>
        <v>10.6428466492036</v>
      </c>
      <c r="AE272" s="31">
        <f t="shared" si="234"/>
        <v>-93.9206904242258</v>
      </c>
      <c r="AF272" s="32" t="str">
        <f t="shared" si="235"/>
        <v>236,914774604583</v>
      </c>
      <c r="AG272" s="32" t="str">
        <f t="shared" si="217"/>
        <v>1+7,181496992896i</v>
      </c>
      <c r="AH272" s="32">
        <f t="shared" si="236"/>
        <v>7.25078609938083</v>
      </c>
      <c r="AI272" s="32">
        <f t="shared" si="237"/>
        <v>1.432439247601</v>
      </c>
      <c r="AJ272" s="32" t="str">
        <f t="shared" si="218"/>
        <v>1+0,341606343445864i</v>
      </c>
      <c r="AK272" s="32">
        <f t="shared" si="238"/>
        <v>1.05673785485448</v>
      </c>
      <c r="AL272" s="32">
        <f t="shared" si="239"/>
        <v>0.329177693151505</v>
      </c>
      <c r="AM272" s="32" t="str">
        <f t="shared" si="219"/>
        <v>1-0,0162384142323574i</v>
      </c>
      <c r="AN272" s="32">
        <f t="shared" si="240"/>
        <v>1.00013183435824</v>
      </c>
      <c r="AO272" s="32">
        <f t="shared" si="241"/>
        <v>-0.0162369871767718</v>
      </c>
      <c r="AP272" s="30" t="str">
        <f t="shared" si="242"/>
        <v>15,0609119008473-31,0754239130284i</v>
      </c>
      <c r="AQ272" s="32">
        <f t="shared" si="243"/>
        <v>30.7646313621271</v>
      </c>
      <c r="AR272" s="31">
        <f t="shared" si="244"/>
        <v>-64.1425416062359</v>
      </c>
      <c r="AS272" t="str">
        <f t="shared" si="220"/>
        <v>-0,000272527472527473</v>
      </c>
      <c r="AT272" t="str">
        <f t="shared" si="221"/>
        <v>0,00489534090384475i</v>
      </c>
      <c r="AU272">
        <f t="shared" si="245"/>
        <v>0.00489534090384475</v>
      </c>
      <c r="AV272">
        <f t="shared" si="246"/>
        <v>1.5707963267949</v>
      </c>
      <c r="AW272" t="str">
        <f t="shared" si="222"/>
        <v>1+0,250632475332064i</v>
      </c>
      <c r="AX272">
        <f t="shared" si="247"/>
        <v>1.0309299868037</v>
      </c>
      <c r="AY272">
        <f t="shared" si="248"/>
        <v>0.245573845383671</v>
      </c>
      <c r="AZ272" t="str">
        <f t="shared" si="223"/>
        <v>1+11,9823653632159i</v>
      </c>
      <c r="BA272">
        <f t="shared" si="249"/>
        <v>12.0240209454906</v>
      </c>
      <c r="BB272">
        <f t="shared" si="250"/>
        <v>1.48753329897113</v>
      </c>
      <c r="BC272" s="30" t="str">
        <f t="shared" si="251"/>
        <v>-0,614513134132889+0,209687733252059i</v>
      </c>
      <c r="BD272" s="32">
        <f t="shared" si="252"/>
        <v>-3.75104200712955</v>
      </c>
      <c r="BE272" s="31">
        <f t="shared" si="253"/>
        <v>161.159035016935</v>
      </c>
      <c r="BF272" s="30" t="str">
        <f t="shared" si="254"/>
        <v>0,855435633690007+2,03881936659842i</v>
      </c>
      <c r="BG272" s="68">
        <f t="shared" si="255"/>
        <v>6.89180464207409</v>
      </c>
      <c r="BH272" s="31">
        <f t="shared" si="256"/>
        <v>67.2383445927097</v>
      </c>
      <c r="BI272" s="30" t="str">
        <f t="shared" si="263"/>
        <v>-2,73899297491925+22,2543446205008i</v>
      </c>
      <c r="BJ272" s="68">
        <f t="shared" si="257"/>
        <v>27.0135893549975</v>
      </c>
      <c r="BK272" s="31">
        <f t="shared" si="264"/>
        <v>97.0164934106996</v>
      </c>
      <c r="BL272" s="32">
        <f t="shared" si="258"/>
        <v>6.89180464207409</v>
      </c>
      <c r="BM272" s="31">
        <f t="shared" si="259"/>
        <v>67.2383445927097</v>
      </c>
      <c r="BO272">
        <f t="shared" si="260"/>
        <v>0</v>
      </c>
      <c r="BP272">
        <f t="shared" si="261"/>
        <v>0</v>
      </c>
    </row>
    <row r="273" spans="14:68">
      <c r="N273" s="7">
        <v>55</v>
      </c>
      <c r="O273" s="18">
        <f t="shared" si="262"/>
        <v>3548.13389233575</v>
      </c>
      <c r="P273" s="86" t="str">
        <f t="shared" si="212"/>
        <v>96,0576923076923</v>
      </c>
      <c r="Q273" s="4" t="str">
        <f t="shared" si="213"/>
        <v>1+29,7585031762469i</v>
      </c>
      <c r="R273" s="4">
        <f t="shared" si="224"/>
        <v>29.7753003560115</v>
      </c>
      <c r="S273" s="4">
        <f t="shared" si="225"/>
        <v>1.5372051262273</v>
      </c>
      <c r="T273" s="4" t="str">
        <f t="shared" si="214"/>
        <v>1+0,349563377366805i</v>
      </c>
      <c r="U273" s="4">
        <f t="shared" si="226"/>
        <v>1.05933684670934</v>
      </c>
      <c r="V273" s="4">
        <f t="shared" si="227"/>
        <v>0.336285793051436</v>
      </c>
      <c r="W273" t="str">
        <f t="shared" si="215"/>
        <v>1-0,165963338177267i</v>
      </c>
      <c r="X273" s="4">
        <f t="shared" si="228"/>
        <v>1.01367836596178</v>
      </c>
      <c r="Y273" s="4">
        <f t="shared" si="229"/>
        <v>-0.164464279852385</v>
      </c>
      <c r="Z273" t="str">
        <f t="shared" si="216"/>
        <v>0,999897230578629+0,284492734968605i</v>
      </c>
      <c r="AA273" s="4">
        <f t="shared" si="230"/>
        <v>1.03958192941621</v>
      </c>
      <c r="AB273" s="4">
        <f t="shared" si="231"/>
        <v>0.277196987283201</v>
      </c>
      <c r="AC273" s="67" t="str">
        <f t="shared" si="232"/>
        <v>-0,239005443620483-3,32377498007675i</v>
      </c>
      <c r="AD273" s="68">
        <f t="shared" si="233"/>
        <v>10.4550306489501</v>
      </c>
      <c r="AE273" s="31">
        <f t="shared" si="234"/>
        <v>-94.1129359079113</v>
      </c>
      <c r="AF273" s="32" t="str">
        <f t="shared" si="235"/>
        <v>236,914774604583</v>
      </c>
      <c r="AG273" s="32" t="str">
        <f t="shared" si="217"/>
        <v>1+7,34877554691578i</v>
      </c>
      <c r="AH273" s="32">
        <f t="shared" si="236"/>
        <v>7.4165020082885</v>
      </c>
      <c r="AI273" s="32">
        <f t="shared" si="237"/>
        <v>1.43554993775079</v>
      </c>
      <c r="AJ273" s="32" t="str">
        <f t="shared" si="218"/>
        <v>1+0,349563377366805i</v>
      </c>
      <c r="AK273" s="32">
        <f t="shared" si="238"/>
        <v>1.05933684670934</v>
      </c>
      <c r="AL273" s="32">
        <f t="shared" si="239"/>
        <v>0.336285793051436</v>
      </c>
      <c r="AM273" s="32" t="str">
        <f t="shared" si="219"/>
        <v>1-0,0166166554897234i</v>
      </c>
      <c r="AN273" s="32">
        <f t="shared" si="240"/>
        <v>1.00013804709133</v>
      </c>
      <c r="AO273" s="32">
        <f t="shared" si="241"/>
        <v>-0.0166151263835127</v>
      </c>
      <c r="AP273" s="30" t="str">
        <f t="shared" si="242"/>
        <v>14,8708247254138-30,4023555357476i</v>
      </c>
      <c r="AQ273" s="32">
        <f t="shared" si="243"/>
        <v>30.5897410817291</v>
      </c>
      <c r="AR273" s="31">
        <f t="shared" si="244"/>
        <v>-63.9351726791828</v>
      </c>
      <c r="AS273" t="str">
        <f t="shared" si="220"/>
        <v>-0,000272527472527473</v>
      </c>
      <c r="AT273" t="str">
        <f t="shared" si="221"/>
        <v>0,00500936804172966i</v>
      </c>
      <c r="AU273">
        <f t="shared" si="245"/>
        <v>0.00500936804172966</v>
      </c>
      <c r="AV273">
        <f t="shared" si="246"/>
        <v>1.5707963267949</v>
      </c>
      <c r="AW273" t="str">
        <f t="shared" si="222"/>
        <v>1+0,25647045564528i</v>
      </c>
      <c r="AX273">
        <f t="shared" si="247"/>
        <v>1.03236480694515</v>
      </c>
      <c r="AY273">
        <f t="shared" si="248"/>
        <v>0.251059171350155</v>
      </c>
      <c r="AZ273" t="str">
        <f t="shared" si="223"/>
        <v>1+12,2614705071264i</v>
      </c>
      <c r="BA273">
        <f t="shared" si="249"/>
        <v>12.3021810666699</v>
      </c>
      <c r="BB273">
        <f t="shared" si="250"/>
        <v>1.48942014411918</v>
      </c>
      <c r="BC273" s="30" t="str">
        <f t="shared" si="251"/>
        <v>-0,612806173386246+0,211570242045419i</v>
      </c>
      <c r="BD273" s="32">
        <f t="shared" si="252"/>
        <v>-3.76447457229113</v>
      </c>
      <c r="BE273" s="31">
        <f t="shared" si="253"/>
        <v>160.95285725338</v>
      </c>
      <c r="BF273" s="30" t="str">
        <f t="shared" si="254"/>
        <v>0,849675888362896+1,98626338718082i</v>
      </c>
      <c r="BG273" s="68">
        <f t="shared" si="255"/>
        <v>6.69055607665894</v>
      </c>
      <c r="BH273" s="31">
        <f t="shared" si="256"/>
        <v>66.8399213454688</v>
      </c>
      <c r="BI273" s="30" t="str">
        <f t="shared" si="263"/>
        <v>-2,6806994756294+21,7769751443604i</v>
      </c>
      <c r="BJ273" s="68">
        <f t="shared" si="257"/>
        <v>26.825266509438</v>
      </c>
      <c r="BK273" s="31">
        <f t="shared" si="264"/>
        <v>97.0176845741973</v>
      </c>
      <c r="BL273" s="32">
        <f t="shared" si="258"/>
        <v>6.69055607665894</v>
      </c>
      <c r="BM273" s="31">
        <f t="shared" si="259"/>
        <v>66.8399213454688</v>
      </c>
      <c r="BO273">
        <f t="shared" si="260"/>
        <v>0</v>
      </c>
      <c r="BP273">
        <f t="shared" si="261"/>
        <v>0</v>
      </c>
    </row>
    <row r="274" spans="14:68">
      <c r="N274" s="7">
        <v>56</v>
      </c>
      <c r="O274" s="18">
        <f t="shared" si="262"/>
        <v>3630.78054770102</v>
      </c>
      <c r="P274" s="86" t="str">
        <f t="shared" si="212"/>
        <v>96,0576923076923</v>
      </c>
      <c r="Q274" s="4" t="str">
        <f t="shared" si="213"/>
        <v>1+30,4516677610181i</v>
      </c>
      <c r="R274" s="4">
        <f t="shared" si="224"/>
        <v>30.4680827986834</v>
      </c>
      <c r="S274" s="4">
        <f t="shared" si="225"/>
        <v>1.53796919971342</v>
      </c>
      <c r="T274" s="4" t="str">
        <f t="shared" si="214"/>
        <v>1+0,357705754417445i</v>
      </c>
      <c r="U274" s="4">
        <f t="shared" si="226"/>
        <v>1.06205150851706</v>
      </c>
      <c r="V274" s="4">
        <f t="shared" si="227"/>
        <v>0.343523072499667</v>
      </c>
      <c r="W274" t="str">
        <f t="shared" si="215"/>
        <v>1-0,169829120932319i</v>
      </c>
      <c r="X274" s="4">
        <f t="shared" si="228"/>
        <v>1.01431845606626</v>
      </c>
      <c r="Y274" s="4">
        <f t="shared" si="229"/>
        <v>-0.168224073086145</v>
      </c>
      <c r="Z274" t="str">
        <f t="shared" si="216"/>
        <v>0,999892387205016+0,291119422048161i</v>
      </c>
      <c r="AA274" s="4">
        <f t="shared" si="230"/>
        <v>1.0414102476374</v>
      </c>
      <c r="AB274" s="4">
        <f t="shared" si="231"/>
        <v>0.2833185778114</v>
      </c>
      <c r="AC274" s="67" t="str">
        <f t="shared" si="232"/>
        <v>-0,244990929651551-3,25204236307774i</v>
      </c>
      <c r="AD274" s="68">
        <f t="shared" si="233"/>
        <v>10.2677016562946</v>
      </c>
      <c r="AE274" s="31">
        <f t="shared" si="234"/>
        <v>-94.3082101116724</v>
      </c>
      <c r="AF274" s="32" t="str">
        <f t="shared" si="235"/>
        <v>236,914774604583</v>
      </c>
      <c r="AG274" s="32" t="str">
        <f t="shared" si="217"/>
        <v>1+7,51995051900311i</v>
      </c>
      <c r="AH274" s="32">
        <f t="shared" si="236"/>
        <v>7.58614894450769</v>
      </c>
      <c r="AI274" s="32">
        <f t="shared" si="237"/>
        <v>1.43859236674886</v>
      </c>
      <c r="AJ274" s="32" t="str">
        <f t="shared" si="218"/>
        <v>1+0,357705754417445i</v>
      </c>
      <c r="AK274" s="32">
        <f t="shared" si="238"/>
        <v>1.06205150851706</v>
      </c>
      <c r="AL274" s="32">
        <f t="shared" si="239"/>
        <v>0.343523072499667</v>
      </c>
      <c r="AM274" s="32" t="str">
        <f t="shared" si="219"/>
        <v>1-0,0170037071177775i</v>
      </c>
      <c r="AN274" s="32">
        <f t="shared" si="240"/>
        <v>1.00014455258015</v>
      </c>
      <c r="AO274" s="32">
        <f t="shared" si="241"/>
        <v>-0.0170020686637426</v>
      </c>
      <c r="AP274" s="30" t="str">
        <f t="shared" si="242"/>
        <v>14,688988556034-29,7431183722582i</v>
      </c>
      <c r="AQ274" s="32">
        <f t="shared" si="243"/>
        <v>30.415582679616</v>
      </c>
      <c r="AR274" s="31">
        <f t="shared" si="244"/>
        <v>-63.7169956122724</v>
      </c>
      <c r="AS274" t="str">
        <f t="shared" si="220"/>
        <v>-0,000272527472527473</v>
      </c>
      <c r="AT274" t="str">
        <f t="shared" si="221"/>
        <v>0,00512605121285714i</v>
      </c>
      <c r="AU274">
        <f t="shared" si="245"/>
        <v>0.00512605121285714</v>
      </c>
      <c r="AV274">
        <f t="shared" si="246"/>
        <v>1.5707963267949</v>
      </c>
      <c r="AW274" t="str">
        <f t="shared" si="222"/>
        <v>1+0,262444419988867i</v>
      </c>
      <c r="AX274">
        <f t="shared" si="247"/>
        <v>1.03386511382447</v>
      </c>
      <c r="AY274">
        <f t="shared" si="248"/>
        <v>0.256656332636836</v>
      </c>
      <c r="AZ274" t="str">
        <f t="shared" si="223"/>
        <v>1+12,5470768449997i</v>
      </c>
      <c r="BA274">
        <f t="shared" si="249"/>
        <v>12.5868636822017</v>
      </c>
      <c r="BB274">
        <f t="shared" si="250"/>
        <v>1.49126460073012</v>
      </c>
      <c r="BC274" s="30" t="str">
        <f t="shared" si="251"/>
        <v>-0,611028900495197+0,213526312625745i</v>
      </c>
      <c r="BD274" s="32">
        <f t="shared" si="252"/>
        <v>-3.77838009019249</v>
      </c>
      <c r="BE274" s="31">
        <f t="shared" si="253"/>
        <v>160.737843113701</v>
      </c>
      <c r="BF274" s="30" t="str">
        <f t="shared" si="254"/>
        <v>0,844093152666987+1,93477985963994i</v>
      </c>
      <c r="BG274" s="68">
        <f t="shared" si="255"/>
        <v>6.48932156610204</v>
      </c>
      <c r="BH274" s="31">
        <f t="shared" si="256"/>
        <v>66.429633002029</v>
      </c>
      <c r="BI274" s="30" t="str">
        <f t="shared" si="263"/>
        <v>-2,62445813476064+21,3103904788711i</v>
      </c>
      <c r="BJ274" s="68">
        <f t="shared" si="257"/>
        <v>26.6372025894235</v>
      </c>
      <c r="BK274" s="31">
        <f t="shared" si="264"/>
        <v>97.0208475014291</v>
      </c>
      <c r="BL274" s="32">
        <f t="shared" si="258"/>
        <v>6.48932156610204</v>
      </c>
      <c r="BM274" s="31">
        <f t="shared" si="259"/>
        <v>66.429633002029</v>
      </c>
      <c r="BO274">
        <f t="shared" si="260"/>
        <v>0</v>
      </c>
      <c r="BP274">
        <f t="shared" si="261"/>
        <v>0</v>
      </c>
    </row>
    <row r="275" spans="14:68">
      <c r="N275" s="7">
        <v>57</v>
      </c>
      <c r="O275" s="18">
        <f t="shared" si="262"/>
        <v>3715.35229097172</v>
      </c>
      <c r="P275" s="86" t="str">
        <f t="shared" ref="P275:P338" si="265">COMPLEX(Adc,0)</f>
        <v>96,0576923076923</v>
      </c>
      <c r="Q275" s="4" t="str">
        <f t="shared" ref="Q275:Q338" si="266">IMSUM(COMPLEX(1,0),IMDIV(COMPLEX(0,2*PI()*O275),COMPLEX(wp_lf,0)))</f>
        <v>1+31,1609782231114i</v>
      </c>
      <c r="R275" s="4">
        <f t="shared" si="224"/>
        <v>31.177019803394</v>
      </c>
      <c r="S275" s="4">
        <f t="shared" si="225"/>
        <v>1.53871591781597</v>
      </c>
      <c r="T275" s="4" t="str">
        <f t="shared" ref="T275:T338" si="267">IMSUM(COMPLEX(1,0),IMDIV(COMPLEX(0,2*PI()*O275),COMPLEX(wz_esr,0)))</f>
        <v>1+0,366037791793871i</v>
      </c>
      <c r="U275" s="4">
        <f t="shared" si="226"/>
        <v>1.06488669116547</v>
      </c>
      <c r="V275" s="4">
        <f t="shared" si="227"/>
        <v>0.350890335243878</v>
      </c>
      <c r="W275" t="str">
        <f t="shared" ref="W275:W338" si="268">IMSUB(COMPLEX(1,0),IMDIV(COMPLEX(0,2*PI()*O275),COMPLEX(wz_rhp,0)))</f>
        <v>1-0,173784949335242i</v>
      </c>
      <c r="X275" s="4">
        <f t="shared" si="228"/>
        <v>1.01498828003847</v>
      </c>
      <c r="Y275" s="4">
        <f t="shared" si="229"/>
        <v>-0.172066478254006</v>
      </c>
      <c r="Z275" t="str">
        <f t="shared" ref="Z275:Z338" si="269">IMSUM(COMPLEX(1,0),IMDIV(COMPLEX(0,2*PI()*O275),COMPLEX(Q*(wsl/2),0)),IMDIV(IMPOWER(COMPLEX(0,2*PI()*O275),2),IMPOWER(COMPLEX(wsl/2,0),2)))</f>
        <v>0,999887315570236+0,297900464498705i</v>
      </c>
      <c r="AA275" s="4">
        <f t="shared" si="230"/>
        <v>1.04332129786888</v>
      </c>
      <c r="AB275" s="4">
        <f t="shared" si="231"/>
        <v>0.289560339524504</v>
      </c>
      <c r="AC275" s="67" t="str">
        <f t="shared" si="232"/>
        <v>-0,250800420707293-3,18199193578i</v>
      </c>
      <c r="AD275" s="68">
        <f t="shared" si="233"/>
        <v>10.0808780794274</v>
      </c>
      <c r="AE275" s="31">
        <f t="shared" si="234"/>
        <v>-94.5066610478125</v>
      </c>
      <c r="AF275" s="32" t="str">
        <f t="shared" si="235"/>
        <v>236,914774604583</v>
      </c>
      <c r="AG275" s="32" t="str">
        <f t="shared" ref="AG275:AG338" si="270">IMSUM(COMPLEX(1,0),IMDIV(COMPLEX(0,2*PI()*O275),COMPLEX(wp_lf_DCM,0)))</f>
        <v>1+7,69511266839386i</v>
      </c>
      <c r="AH275" s="32">
        <f t="shared" si="236"/>
        <v>7.7598169423818</v>
      </c>
      <c r="AI275" s="32">
        <f t="shared" si="237"/>
        <v>1.44156792231744</v>
      </c>
      <c r="AJ275" s="32" t="str">
        <f t="shared" ref="AJ275:AJ338" si="271">IMSUM(COMPLEX(1,0),IMDIV(COMPLEX(0,2*PI()*O275),COMPLEX(wz1_dcm,0)))</f>
        <v>1+0,366037791793871i</v>
      </c>
      <c r="AK275" s="32">
        <f t="shared" si="238"/>
        <v>1.06488669116547</v>
      </c>
      <c r="AL275" s="32">
        <f t="shared" si="239"/>
        <v>0.350890335243878</v>
      </c>
      <c r="AM275" s="32" t="str">
        <f t="shared" ref="AM275:AM338" si="272">IMSUB(COMPLEX(1,0),IMDIV(COMPLEX(0,2*PI()*O275),COMPLEX(wz2_dcm,0)))</f>
        <v>1-0,0173997743364161i</v>
      </c>
      <c r="AN275" s="32">
        <f t="shared" si="240"/>
        <v>1.00015136461786</v>
      </c>
      <c r="AO275" s="32">
        <f t="shared" si="241"/>
        <v>-0.0173980187156369</v>
      </c>
      <c r="AP275" s="30" t="str">
        <f t="shared" si="242"/>
        <v>14,5150581307784-29,0975103801042i</v>
      </c>
      <c r="AQ275" s="32">
        <f t="shared" si="243"/>
        <v>30.2421960048955</v>
      </c>
      <c r="AR275" s="31">
        <f t="shared" si="244"/>
        <v>-63.4880555931231</v>
      </c>
      <c r="AS275" t="str">
        <f t="shared" ref="AS275:AS338" si="273">COMPLEX(Adc_ea,0)</f>
        <v>-0,000272527472527473</v>
      </c>
      <c r="AT275" t="str">
        <f t="shared" ref="AT275:AT338" si="274">COMPLEX(0,2*PI()*O275*wp0_ea)</f>
        <v>0,00524545228418895i</v>
      </c>
      <c r="AU275">
        <f t="shared" si="245"/>
        <v>0.00524545228418895</v>
      </c>
      <c r="AV275">
        <f t="shared" si="246"/>
        <v>1.5707963267949</v>
      </c>
      <c r="AW275" t="str">
        <f t="shared" ref="AW275:AW338" si="275">IMSUM(COMPLEX(1,0),IMDIV(COMPLEX(0,2*PI()*O275),COMPLEX(wp1_ea,0)))</f>
        <v>1+0,268557535837794i</v>
      </c>
      <c r="AX275">
        <f t="shared" si="247"/>
        <v>1.03543379800703</v>
      </c>
      <c r="AY275">
        <f t="shared" si="248"/>
        <v>0.262366893554157</v>
      </c>
      <c r="AZ275" t="str">
        <f t="shared" ref="AZ275:AZ338" si="276">IMSUM(COMPLEX(1,0),IMDIV(COMPLEX(0,2*PI()*O275),COMPLEX(wz_ea,0)))</f>
        <v>1+12,8393358090962i</v>
      </c>
      <c r="BA275">
        <f t="shared" si="249"/>
        <v>12.8782197534729</v>
      </c>
      <c r="BB275">
        <f t="shared" si="250"/>
        <v>1.49306759653226</v>
      </c>
      <c r="BC275" s="30" t="str">
        <f t="shared" si="251"/>
        <v>-0,609178883043849+0,215554579543563i</v>
      </c>
      <c r="BD275" s="32">
        <f t="shared" si="252"/>
        <v>-3.79278315047869</v>
      </c>
      <c r="BE275" s="31">
        <f t="shared" si="253"/>
        <v>160.513956124429</v>
      </c>
      <c r="BF275" s="30" t="str">
        <f t="shared" si="254"/>
        <v>0,838675253981462+1,88434111405809i</v>
      </c>
      <c r="BG275" s="68">
        <f t="shared" si="255"/>
        <v>6.28809492894875</v>
      </c>
      <c r="BH275" s="31">
        <f t="shared" si="256"/>
        <v>66.0072950766163</v>
      </c>
      <c r="BI275" s="30" t="str">
        <f t="shared" si="263"/>
        <v>-2,5701652836763+20,854376125139i</v>
      </c>
      <c r="BJ275" s="68">
        <f t="shared" si="257"/>
        <v>26.4494128544168</v>
      </c>
      <c r="BK275" s="31">
        <f t="shared" si="264"/>
        <v>97.0259005313056</v>
      </c>
      <c r="BL275" s="32">
        <f t="shared" si="258"/>
        <v>6.28809492894875</v>
      </c>
      <c r="BM275" s="31">
        <f t="shared" si="259"/>
        <v>66.0072950766163</v>
      </c>
      <c r="BO275">
        <f t="shared" si="260"/>
        <v>0</v>
      </c>
      <c r="BP275">
        <f t="shared" si="261"/>
        <v>0</v>
      </c>
    </row>
    <row r="276" spans="14:68">
      <c r="N276" s="7">
        <v>58</v>
      </c>
      <c r="O276" s="18">
        <f t="shared" si="262"/>
        <v>3801.89396320562</v>
      </c>
      <c r="P276" s="86" t="str">
        <f t="shared" si="265"/>
        <v>96,0576923076923</v>
      </c>
      <c r="Q276" s="4" t="str">
        <f t="shared" si="266"/>
        <v>1+31,8868106483232i</v>
      </c>
      <c r="R276" s="4">
        <f t="shared" ref="R276:R339" si="277">IMABS(Q276)</f>
        <v>31.902487259178</v>
      </c>
      <c r="S276" s="4">
        <f t="shared" ref="S276:S339" si="278">IMARGUMENT(Q276)</f>
        <v>1.539445673122</v>
      </c>
      <c r="T276" s="4" t="str">
        <f t="shared" si="267"/>
        <v>1+0,374563907252591i</v>
      </c>
      <c r="U276" s="4">
        <f t="shared" ref="U276:U339" si="279">IMABS(T276)</f>
        <v>1.06784742384684</v>
      </c>
      <c r="V276" s="4">
        <f t="shared" ref="V276:V339" si="280">IMARGUMENT(T276)</f>
        <v>0.358388287577729</v>
      </c>
      <c r="W276" t="str">
        <f t="shared" si="268"/>
        <v>1-0,17783292081862i</v>
      </c>
      <c r="X276" s="4">
        <f t="shared" ref="X276:X339" si="281">IMABS(W276)</f>
        <v>1.01568919839037</v>
      </c>
      <c r="Y276" s="4">
        <f t="shared" ref="Y276:Y339" si="282">IMARGUMENT(W276)</f>
        <v>-0.175993078586312</v>
      </c>
      <c r="Z276" t="str">
        <f t="shared" si="269"/>
        <v>0,999882004916674+0,304839457718707i</v>
      </c>
      <c r="AA276" s="4">
        <f t="shared" ref="AA276:AA339" si="283">IMABS(Z276)</f>
        <v>1.04531866851139</v>
      </c>
      <c r="AB276" s="4">
        <f t="shared" ref="AB276:AB339" si="284">IMARGUMENT(Z276)</f>
        <v>0.295923643789018</v>
      </c>
      <c r="AC276" s="67" t="str">
        <f t="shared" ref="AC276:AC339" si="285">(IMDIV(IMPRODUCT(P276,T276,W276),IMPRODUCT(Q276,Z276)))</f>
        <v>-0,256445111777953-3,11358586494344i</v>
      </c>
      <c r="AD276" s="68">
        <f t="shared" ref="AD276:AD339" si="286">20*LOG(IMABS(AC276))</f>
        <v>9.89457873119663</v>
      </c>
      <c r="AE276" s="31">
        <f t="shared" ref="AE276:AE339" si="287">(180/PI())*IMARGUMENT(AC276)</f>
        <v>-94.7084400281951</v>
      </c>
      <c r="AF276" s="32" t="str">
        <f t="shared" ref="AF276:AF339" si="288">COMPLEX($B$68,0)</f>
        <v>236,914774604583</v>
      </c>
      <c r="AG276" s="32" t="str">
        <f t="shared" si="270"/>
        <v>1+7,87435486837833i</v>
      </c>
      <c r="AH276" s="32">
        <f t="shared" ref="AH276:AH339" si="289">IMABS(AG276)</f>
        <v>7.93759816274127</v>
      </c>
      <c r="AI276" s="32">
        <f t="shared" ref="AI276:AI339" si="290">IMARGUMENT(AG276)</f>
        <v>1.44447797126084</v>
      </c>
      <c r="AJ276" s="32" t="str">
        <f t="shared" si="271"/>
        <v>1+0,374563907252591i</v>
      </c>
      <c r="AK276" s="32">
        <f t="shared" ref="AK276:AK339" si="291">IMABS(AJ276)</f>
        <v>1.06784742384684</v>
      </c>
      <c r="AL276" s="32">
        <f t="shared" ref="AL276:AL339" si="292">IMARGUMENT(AJ276)</f>
        <v>0.358388287577729</v>
      </c>
      <c r="AM276" s="32" t="str">
        <f t="shared" si="272"/>
        <v>1-0,0178050671457211i</v>
      </c>
      <c r="AN276" s="32">
        <f t="shared" ref="AN276:AN339" si="293">IMABS(AM276)</f>
        <v>1.00015849764728</v>
      </c>
      <c r="AO276" s="32">
        <f t="shared" ref="AO276:AO339" si="294">IMARGUMENT(AM276)</f>
        <v>-0.017803185980264</v>
      </c>
      <c r="AP276" s="30" t="str">
        <f t="shared" ref="AP276:AP339" si="295">(IMDIV(IMPRODUCT(AF276,AJ276,AM276),IMPRODUCT(AG276)))</f>
        <v>14,3487015172365-28,4653274550475i</v>
      </c>
      <c r="AQ276" s="32">
        <f t="shared" ref="AQ276:AQ339" si="296">20*LOG(IMABS(AP276))</f>
        <v>30.0696213913978</v>
      </c>
      <c r="AR276" s="31">
        <f t="shared" ref="AR276:AR339" si="297">(180/PI())*IMARGUMENT(AP276)</f>
        <v>-63.2484024662967</v>
      </c>
      <c r="AS276" t="str">
        <f t="shared" si="273"/>
        <v>-0,000272527472527473</v>
      </c>
      <c r="AT276" t="str">
        <f t="shared" si="274"/>
        <v>0,00536763456375365i</v>
      </c>
      <c r="AU276">
        <f t="shared" ref="AU276:AU339" si="298">IMABS(AT276)</f>
        <v>0.00536763456375365</v>
      </c>
      <c r="AV276">
        <f t="shared" ref="AV276:AV339" si="299">IMARGUMENT(AT276)</f>
        <v>1.5707963267949</v>
      </c>
      <c r="AW276" t="str">
        <f t="shared" si="275"/>
        <v>1+0,274813044447003i</v>
      </c>
      <c r="AX276">
        <f t="shared" ref="AX276:AX339" si="300">IMABS(AW276)</f>
        <v>1.03707386882431</v>
      </c>
      <c r="AY276">
        <f t="shared" ref="AY276:AY339" si="301">IMARGUMENT(AW276)</f>
        <v>0.268192391510065</v>
      </c>
      <c r="AZ276" t="str">
        <f t="shared" si="276"/>
        <v>1+13,1384023589876i</v>
      </c>
      <c r="BA276">
        <f t="shared" ref="BA276:BA339" si="302">IMABS(AZ276)</f>
        <v>13.1764037789774</v>
      </c>
      <c r="BB276">
        <f t="shared" ref="BB276:BB339" si="303">IMARGUMENT(AZ276)</f>
        <v>1.49483004058231</v>
      </c>
      <c r="BC276" s="30" t="str">
        <f t="shared" ref="BC276:BC339" si="304">IMPRODUCT(AS276,IMDIV(AZ276,IMPRODUCT(AT276,AW276)))</f>
        <v>-0,607253646023312+0,21765358286275i</v>
      </c>
      <c r="BD276" s="32">
        <f t="shared" ref="BD276:BD339" si="305">20*LOG(IMABS(BC276))</f>
        <v>-3.80770897632198</v>
      </c>
      <c r="BE276" s="31">
        <f t="shared" ref="BE276:BE339" si="306">(180/PI())*IMARGUMENT(BC276)</f>
        <v>160.281160283689</v>
      </c>
      <c r="BF276" s="30" t="str">
        <f t="shared" ref="BF276:BF339" si="307">IMPRODUCT(AC276,BC276)</f>
        <v>0,833410348187772+1,83492017130744i</v>
      </c>
      <c r="BG276" s="68">
        <f t="shared" ref="BG276:BG339" si="308">20*LOG(IMABS(BF276))</f>
        <v>6.08686975487465</v>
      </c>
      <c r="BH276" s="31">
        <f t="shared" ref="BH276:BH339" si="309">(180/PI())*IMARGUMENT(BF276)</f>
        <v>65.5727202554938</v>
      </c>
      <c r="BI276" s="30" t="str">
        <f t="shared" si="263"/>
        <v>-2,5177208040896+20,4087201769798i</v>
      </c>
      <c r="BJ276" s="68">
        <f t="shared" ref="BJ276:BJ339" si="310">20*LOG(IMABS(BI276))</f>
        <v>26.2619124150759</v>
      </c>
      <c r="BK276" s="31">
        <f t="shared" si="264"/>
        <v>97.0327578173922</v>
      </c>
      <c r="BL276" s="32">
        <f t="shared" ref="BL276:BL339" si="311">IF($B$31=0,BJ276,BG276)</f>
        <v>6.08686975487465</v>
      </c>
      <c r="BM276" s="31">
        <f t="shared" ref="BM276:BM339" si="312">IF($B$31=0,BK276,BH276)</f>
        <v>65.5727202554938</v>
      </c>
      <c r="BO276">
        <f t="shared" ref="BO276:BO339" si="313">SUM((BL277&lt;0)*(BL276&gt;0))*O276</f>
        <v>0</v>
      </c>
      <c r="BP276">
        <f t="shared" ref="BP276:BP339" si="314">IF(BO276&gt;0,BM276,0)</f>
        <v>0</v>
      </c>
    </row>
    <row r="277" spans="14:68">
      <c r="N277" s="7">
        <v>59</v>
      </c>
      <c r="O277" s="18">
        <f t="shared" si="262"/>
        <v>3890.45144994281</v>
      </c>
      <c r="P277" s="86" t="str">
        <f t="shared" si="265"/>
        <v>96,0576923076923</v>
      </c>
      <c r="Q277" s="4" t="str">
        <f t="shared" si="266"/>
        <v>1+32,6295498826125i</v>
      </c>
      <c r="R277" s="4">
        <f t="shared" si="277"/>
        <v>32.64486981965</v>
      </c>
      <c r="S277" s="4">
        <f t="shared" si="278"/>
        <v>1.54015884944663</v>
      </c>
      <c r="T277" s="4" t="str">
        <f t="shared" si="267"/>
        <v>1+0,383288621452875i</v>
      </c>
      <c r="U277" s="4">
        <f t="shared" si="279"/>
        <v>1.07093891858278</v>
      </c>
      <c r="V277" s="4">
        <f t="shared" si="280"/>
        <v>0.36601753178954</v>
      </c>
      <c r="W277" t="str">
        <f t="shared" si="268"/>
        <v>1-0,181975181670512i</v>
      </c>
      <c r="X277" s="4">
        <f t="shared" si="281"/>
        <v>1.01642263195189</v>
      </c>
      <c r="Y277" s="4">
        <f t="shared" si="282"/>
        <v>-0.180005471449087</v>
      </c>
      <c r="Z277" t="str">
        <f t="shared" si="269"/>
        <v>0,99987644397972+0,311940080854219i</v>
      </c>
      <c r="AA277" s="4">
        <f t="shared" si="283"/>
        <v>1.04740608995216</v>
      </c>
      <c r="AB277" s="4">
        <f t="shared" si="284"/>
        <v>0.302409811024862</v>
      </c>
      <c r="AC277" s="67" t="str">
        <f t="shared" si="285"/>
        <v>-0,261935768399858-3,04678704113643i</v>
      </c>
      <c r="AD277" s="68">
        <f t="shared" si="286"/>
        <v>9.70882282289917</v>
      </c>
      <c r="AE277" s="31">
        <f t="shared" si="287"/>
        <v>-94.9137017120491</v>
      </c>
      <c r="AF277" s="32" t="str">
        <f t="shared" si="288"/>
        <v>236,914774604583</v>
      </c>
      <c r="AG277" s="32" t="str">
        <f t="shared" si="270"/>
        <v>1+8,05777215554339i</v>
      </c>
      <c r="AH277" s="32">
        <f t="shared" si="289"/>
        <v>8.11958694212029</v>
      </c>
      <c r="AI277" s="32">
        <f t="shared" si="290"/>
        <v>1.44732385927331</v>
      </c>
      <c r="AJ277" s="32" t="str">
        <f t="shared" si="271"/>
        <v>1+0,383288621452875i</v>
      </c>
      <c r="AK277" s="32">
        <f t="shared" si="291"/>
        <v>1.07093891858278</v>
      </c>
      <c r="AL277" s="32">
        <f t="shared" si="292"/>
        <v>0.36601753178954</v>
      </c>
      <c r="AM277" s="32" t="str">
        <f t="shared" si="272"/>
        <v>1-0,0182198004373047i</v>
      </c>
      <c r="AN277" s="32">
        <f t="shared" si="293"/>
        <v>1.0001659667915</v>
      </c>
      <c r="AO277" s="32">
        <f t="shared" si="294"/>
        <v>-0.0182177847502658</v>
      </c>
      <c r="AP277" s="30" t="str">
        <f t="shared" si="295"/>
        <v>14,1895996962234-27,8463638844713i</v>
      </c>
      <c r="AQ277" s="32">
        <f t="shared" si="296"/>
        <v>29.897899653336</v>
      </c>
      <c r="AR277" s="31">
        <f t="shared" si="297"/>
        <v>-62.9980911038787</v>
      </c>
      <c r="AS277" t="str">
        <f t="shared" si="273"/>
        <v>-0,000272527472527473</v>
      </c>
      <c r="AT277" t="str">
        <f t="shared" si="274"/>
        <v>0,00549266283421307i</v>
      </c>
      <c r="AU277">
        <f t="shared" si="298"/>
        <v>0.00549266283421307</v>
      </c>
      <c r="AV277">
        <f t="shared" si="299"/>
        <v>1.5707963267949</v>
      </c>
      <c r="AW277" t="str">
        <f t="shared" si="275"/>
        <v>1+0,281214262569958i</v>
      </c>
      <c r="AX277">
        <f t="shared" si="300"/>
        <v>1.03878845848073</v>
      </c>
      <c r="AY277">
        <f t="shared" si="301"/>
        <v>0.274134333047972</v>
      </c>
      <c r="AZ277" t="str">
        <f t="shared" si="276"/>
        <v>1+13,4444350637169i</v>
      </c>
      <c r="BA277">
        <f t="shared" si="302"/>
        <v>13.4815738763136</v>
      </c>
      <c r="BB277">
        <f t="shared" si="303"/>
        <v>1.4965528235308</v>
      </c>
      <c r="BC277" s="30" t="str">
        <f t="shared" si="304"/>
        <v>-0,605250675092435+0,21982176190942i</v>
      </c>
      <c r="BD277" s="32">
        <f t="shared" si="305"/>
        <v>-3.82318344202534</v>
      </c>
      <c r="BE277" s="31">
        <f t="shared" si="306"/>
        <v>160.039420303419</v>
      </c>
      <c r="BF277" s="30" t="str">
        <f t="shared" si="307"/>
        <v>0,828286896200268+1,78649073139395i</v>
      </c>
      <c r="BG277" s="68">
        <f t="shared" si="308"/>
        <v>5.88563938087382</v>
      </c>
      <c r="BH277" s="31">
        <f t="shared" si="309"/>
        <v>65.1257185913699</v>
      </c>
      <c r="BI277" s="30" t="str">
        <f t="shared" si="263"/>
        <v>-2,4670280235753+19,9732133459591i</v>
      </c>
      <c r="BJ277" s="68">
        <f t="shared" si="310"/>
        <v>26.0747162113107</v>
      </c>
      <c r="BK277" s="31">
        <f t="shared" si="264"/>
        <v>97.0413291995403</v>
      </c>
      <c r="BL277" s="32">
        <f t="shared" si="311"/>
        <v>5.88563938087382</v>
      </c>
      <c r="BM277" s="31">
        <f t="shared" si="312"/>
        <v>65.1257185913699</v>
      </c>
      <c r="BO277">
        <f t="shared" si="313"/>
        <v>0</v>
      </c>
      <c r="BP277">
        <f t="shared" si="314"/>
        <v>0</v>
      </c>
    </row>
    <row r="278" spans="14:68">
      <c r="N278" s="7">
        <v>60</v>
      </c>
      <c r="O278" s="18">
        <f t="shared" si="262"/>
        <v>3981.07170553498</v>
      </c>
      <c r="P278" s="86" t="str">
        <f t="shared" si="265"/>
        <v>96,0576923076923</v>
      </c>
      <c r="Q278" s="4" t="str">
        <f t="shared" si="266"/>
        <v>1+33,3895897361528i</v>
      </c>
      <c r="R278" s="4">
        <f t="shared" si="277"/>
        <v>33.4045611069596</v>
      </c>
      <c r="S278" s="4">
        <f t="shared" si="278"/>
        <v>1.54085582202185</v>
      </c>
      <c r="T278" s="4" t="str">
        <f t="shared" si="267"/>
        <v>1+0,392216560353678i</v>
      </c>
      <c r="U278" s="4">
        <f t="shared" si="279"/>
        <v>1.07416657470602</v>
      </c>
      <c r="V278" s="4">
        <f t="shared" si="280"/>
        <v>0.373778559495469</v>
      </c>
      <c r="W278" t="str">
        <f t="shared" si="268"/>
        <v>1-0,186213928172452i</v>
      </c>
      <c r="X278" s="4">
        <f t="shared" si="281"/>
        <v>1.01719006436625</v>
      </c>
      <c r="Y278" s="4">
        <f t="shared" si="282"/>
        <v>-0.184105267237267</v>
      </c>
      <c r="Z278" t="str">
        <f t="shared" si="269"/>
        <v>0,999870620963881+0,319206098749614i</v>
      </c>
      <c r="AA278" s="4">
        <f t="shared" si="283"/>
        <v>1.04958743901861</v>
      </c>
      <c r="AB278" s="4">
        <f t="shared" si="284"/>
        <v>0.309020105590115</v>
      </c>
      <c r="AC278" s="67" t="str">
        <f t="shared" si="285"/>
        <v>-0,267282742967899-2,98155906063373i</v>
      </c>
      <c r="AD278" s="68">
        <f t="shared" si="286"/>
        <v>9.52362995653411</v>
      </c>
      <c r="AE278" s="31">
        <f t="shared" si="287"/>
        <v>-95.1226041422671</v>
      </c>
      <c r="AF278" s="32" t="str">
        <f t="shared" si="288"/>
        <v>236,914774604583</v>
      </c>
      <c r="AG278" s="32" t="str">
        <f t="shared" si="270"/>
        <v>1+8,24546178016255i</v>
      </c>
      <c r="AH278" s="32">
        <f t="shared" si="289"/>
        <v>8.30587984310641</v>
      </c>
      <c r="AI278" s="32">
        <f t="shared" si="290"/>
        <v>1.4501069107913</v>
      </c>
      <c r="AJ278" s="32" t="str">
        <f t="shared" si="271"/>
        <v>1+0,392216560353678i</v>
      </c>
      <c r="AK278" s="32">
        <f t="shared" si="291"/>
        <v>1.07416657470602</v>
      </c>
      <c r="AL278" s="32">
        <f t="shared" si="292"/>
        <v>0.373778559495469</v>
      </c>
      <c r="AM278" s="32" t="str">
        <f t="shared" si="272"/>
        <v>1-0,0186441941082478i</v>
      </c>
      <c r="AN278" s="32">
        <f t="shared" si="293"/>
        <v>1.00017378788586</v>
      </c>
      <c r="AO278" s="32">
        <f t="shared" si="294"/>
        <v>-0.0186420342809408</v>
      </c>
      <c r="AP278" s="30" t="str">
        <f t="shared" si="295"/>
        <v>14,0374461494045-27,2404127684681i</v>
      </c>
      <c r="AQ278" s="32">
        <f t="shared" si="296"/>
        <v>29.7270720770595</v>
      </c>
      <c r="AR278" s="31">
        <f t="shared" si="297"/>
        <v>-62.7371817853615</v>
      </c>
      <c r="AS278" t="str">
        <f t="shared" si="273"/>
        <v>-0,000272527472527473</v>
      </c>
      <c r="AT278" t="str">
        <f t="shared" si="274"/>
        <v>0,00562060338721118i</v>
      </c>
      <c r="AU278">
        <f t="shared" si="298"/>
        <v>0.00562060338721118</v>
      </c>
      <c r="AV278">
        <f t="shared" si="299"/>
        <v>1.5707963267949</v>
      </c>
      <c r="AW278" t="str">
        <f t="shared" si="275"/>
        <v>1+0,287764584217238i</v>
      </c>
      <c r="AX278">
        <f t="shared" si="300"/>
        <v>1.04058082623587</v>
      </c>
      <c r="AY278">
        <f t="shared" si="301"/>
        <v>0.280194189674916</v>
      </c>
      <c r="AZ278" t="str">
        <f t="shared" si="276"/>
        <v>1+13,7575961858752i</v>
      </c>
      <c r="BA278">
        <f t="shared" si="302"/>
        <v>13.7938918660981</v>
      </c>
      <c r="BB278">
        <f t="shared" si="303"/>
        <v>1.49823681789166</v>
      </c>
      <c r="BC278" s="30" t="str">
        <f t="shared" si="304"/>
        <v>-0,603167420294428+0,222057448952626i</v>
      </c>
      <c r="BD278" s="32">
        <f t="shared" si="305"/>
        <v>-3.83923308935266</v>
      </c>
      <c r="BE278" s="31">
        <f t="shared" si="306"/>
        <v>159.788701863842</v>
      </c>
      <c r="BF278" s="30" t="str">
        <f t="shared" si="307"/>
        <v>0,82329364147108+1,73902716300541i</v>
      </c>
      <c r="BG278" s="68">
        <f t="shared" si="308"/>
        <v>5.68439686718144</v>
      </c>
      <c r="BH278" s="31">
        <f t="shared" si="309"/>
        <v>64.6660977215749</v>
      </c>
      <c r="BI278" s="30" t="str">
        <f t="shared" si="263"/>
        <v>-2,4179936136757+19,5476489790589i</v>
      </c>
      <c r="BJ278" s="68">
        <f t="shared" si="310"/>
        <v>25.8878389877068</v>
      </c>
      <c r="BK278" s="31">
        <f t="shared" si="264"/>
        <v>97.0515200784806</v>
      </c>
      <c r="BL278" s="32">
        <f t="shared" si="311"/>
        <v>5.68439686718144</v>
      </c>
      <c r="BM278" s="31">
        <f t="shared" si="312"/>
        <v>64.6660977215749</v>
      </c>
      <c r="BO278">
        <f t="shared" si="313"/>
        <v>0</v>
      </c>
      <c r="BP278">
        <f t="shared" si="314"/>
        <v>0</v>
      </c>
    </row>
    <row r="279" spans="14:68">
      <c r="N279" s="7">
        <v>61</v>
      </c>
      <c r="O279" s="18">
        <f t="shared" si="262"/>
        <v>4073.80277804113</v>
      </c>
      <c r="P279" s="86" t="str">
        <f t="shared" si="265"/>
        <v>96,0576923076923</v>
      </c>
      <c r="Q279" s="4" t="str">
        <f t="shared" si="266"/>
        <v>1+34,1673331921344i</v>
      </c>
      <c r="R279" s="4">
        <f t="shared" si="277"/>
        <v>34.1819639204995</v>
      </c>
      <c r="S279" s="4">
        <f t="shared" si="278"/>
        <v>1.54153695768163</v>
      </c>
      <c r="T279" s="4" t="str">
        <f t="shared" si="267"/>
        <v>1+0,401352457666379i</v>
      </c>
      <c r="U279" s="4">
        <f t="shared" si="279"/>
        <v>1.0775359832854</v>
      </c>
      <c r="V279" s="4">
        <f t="shared" si="280"/>
        <v>0.381671744879521</v>
      </c>
      <c r="W279" t="str">
        <f t="shared" si="268"/>
        <v>1-0,190551407763942i</v>
      </c>
      <c r="X279" s="4">
        <f t="shared" si="281"/>
        <v>1.01799304467212</v>
      </c>
      <c r="Y279" s="4">
        <f t="shared" si="282"/>
        <v>-0.188294088160883</v>
      </c>
      <c r="Z279" t="str">
        <f t="shared" si="269"/>
        <v>0,99986452351776+0,326641363943758i</v>
      </c>
      <c r="AA279" s="4">
        <f t="shared" si="283"/>
        <v>1.05186674347487</v>
      </c>
      <c r="AB279" s="4">
        <f t="shared" si="284"/>
        <v>0.315755730457238</v>
      </c>
      <c r="AC279" s="67" t="str">
        <f t="shared" si="285"/>
        <v>-0,272495989890622-2,91786620750462i</v>
      </c>
      <c r="AD279" s="68">
        <f t="shared" si="286"/>
        <v>9.33902011547815</v>
      </c>
      <c r="AE279" s="31">
        <f t="shared" si="287"/>
        <v>-95.3353087687572</v>
      </c>
      <c r="AF279" s="32" t="str">
        <f t="shared" si="288"/>
        <v>236,914774604583</v>
      </c>
      <c r="AG279" s="32" t="str">
        <f t="shared" si="270"/>
        <v>1+8,4375232577591i</v>
      </c>
      <c r="AH279" s="32">
        <f t="shared" si="289"/>
        <v>8.49657570584914</v>
      </c>
      <c r="AI279" s="32">
        <f t="shared" si="290"/>
        <v>1.45282842888695</v>
      </c>
      <c r="AJ279" s="32" t="str">
        <f t="shared" si="271"/>
        <v>1+0,401352457666379i</v>
      </c>
      <c r="AK279" s="32">
        <f t="shared" si="291"/>
        <v>1.0775359832854</v>
      </c>
      <c r="AL279" s="32">
        <f t="shared" si="292"/>
        <v>0.381671744879521</v>
      </c>
      <c r="AM279" s="32" t="str">
        <f t="shared" si="272"/>
        <v>1-0,019078473177692i</v>
      </c>
      <c r="AN279" s="32">
        <f t="shared" si="293"/>
        <v>1.00018197751149</v>
      </c>
      <c r="AO279" s="32">
        <f t="shared" si="294"/>
        <v>-0.0190761589037776</v>
      </c>
      <c r="AP279" s="30" t="str">
        <f t="shared" si="295"/>
        <v>13,8919464518068-26,6472664103309i</v>
      </c>
      <c r="AQ279" s="32">
        <f t="shared" si="296"/>
        <v>29.5571804087067</v>
      </c>
      <c r="AR279" s="31">
        <f t="shared" si="297"/>
        <v>-62.4657405853615</v>
      </c>
      <c r="AS279" t="str">
        <f t="shared" si="273"/>
        <v>-0,000272527472527473</v>
      </c>
      <c r="AT279" t="str">
        <f t="shared" si="274"/>
        <v>0,00575152405852267i</v>
      </c>
      <c r="AU279">
        <f t="shared" si="298"/>
        <v>0.00575152405852267</v>
      </c>
      <c r="AV279">
        <f t="shared" si="299"/>
        <v>1.5707963267949</v>
      </c>
      <c r="AW279" t="str">
        <f t="shared" si="275"/>
        <v>1+0,294467482456084i</v>
      </c>
      <c r="AX279">
        <f t="shared" si="300"/>
        <v>1.04245436265768</v>
      </c>
      <c r="AY279">
        <f t="shared" si="301"/>
        <v>0.286373393477684</v>
      </c>
      <c r="AZ279" t="str">
        <f t="shared" si="276"/>
        <v>1+14,0780517676345i</v>
      </c>
      <c r="BA279">
        <f t="shared" si="302"/>
        <v>14.1135233578365</v>
      </c>
      <c r="BB279">
        <f t="shared" si="303"/>
        <v>1.49988287831533</v>
      </c>
      <c r="BC279" s="30" t="str">
        <f t="shared" si="304"/>
        <v>-0,601001300256788+0,224358862842129i</v>
      </c>
      <c r="BD279" s="32">
        <f t="shared" si="305"/>
        <v>-3.85588514245056</v>
      </c>
      <c r="BE279" s="31">
        <f t="shared" si="306"/>
        <v>159.528971880292</v>
      </c>
      <c r="BF279" s="30" t="str">
        <f t="shared" si="307"/>
        <v>0,818419588480237+1,69250449426472i</v>
      </c>
      <c r="BG279" s="68">
        <f t="shared" si="308"/>
        <v>5.4831349730276</v>
      </c>
      <c r="BH279" s="31">
        <f t="shared" si="309"/>
        <v>64.1936631115346</v>
      </c>
      <c r="BI279" s="30" t="str">
        <f t="shared" si="263"/>
        <v>-2,37052749096046+19,131823069489i</v>
      </c>
      <c r="BJ279" s="68">
        <f t="shared" si="310"/>
        <v>25.7012952662561</v>
      </c>
      <c r="BK279" s="31">
        <f t="shared" si="264"/>
        <v>97.0632312949304</v>
      </c>
      <c r="BL279" s="32">
        <f t="shared" si="311"/>
        <v>5.4831349730276</v>
      </c>
      <c r="BM279" s="31">
        <f t="shared" si="312"/>
        <v>64.1936631115346</v>
      </c>
      <c r="BO279">
        <f t="shared" si="313"/>
        <v>0</v>
      </c>
      <c r="BP279">
        <f t="shared" si="314"/>
        <v>0</v>
      </c>
    </row>
    <row r="280" spans="14:68">
      <c r="N280" s="7">
        <v>62</v>
      </c>
      <c r="O280" s="18">
        <f t="shared" si="262"/>
        <v>4168.69383470336</v>
      </c>
      <c r="P280" s="86" t="str">
        <f t="shared" si="265"/>
        <v>96,0576923076923</v>
      </c>
      <c r="Q280" s="4" t="str">
        <f t="shared" si="266"/>
        <v>1+34,9631926204328i</v>
      </c>
      <c r="R280" s="4">
        <f t="shared" si="277"/>
        <v>34.977490450481</v>
      </c>
      <c r="S280" s="4">
        <f t="shared" si="278"/>
        <v>1.54220261504361</v>
      </c>
      <c r="T280" s="4" t="str">
        <f t="shared" si="267"/>
        <v>1+0,410701157364665i</v>
      </c>
      <c r="U280" s="4">
        <f t="shared" si="279"/>
        <v>1.08105293147962</v>
      </c>
      <c r="V280" s="4">
        <f t="shared" si="280"/>
        <v>0.389697337865551</v>
      </c>
      <c r="W280" t="str">
        <f t="shared" si="268"/>
        <v>1-0,194989920234074i</v>
      </c>
      <c r="X280" s="4">
        <f t="shared" si="281"/>
        <v>1.01883318997414</v>
      </c>
      <c r="Y280" s="4">
        <f t="shared" si="282"/>
        <v>-0.192573566918253</v>
      </c>
      <c r="Z280" t="str">
        <f t="shared" si="269"/>
        <v>0,999858138707857+0,334249818712675i</v>
      </c>
      <c r="AA280" s="4">
        <f t="shared" si="283"/>
        <v>1.05424818655277</v>
      </c>
      <c r="AB280" s="4">
        <f t="shared" si="284"/>
        <v>0.322617821685377</v>
      </c>
      <c r="AC280" s="67" t="str">
        <f t="shared" si="285"/>
        <v>-0,277585079612423-2,85567343592482i</v>
      </c>
      <c r="AD280" s="68">
        <f t="shared" si="286"/>
        <v>9.1550136535469</v>
      </c>
      <c r="AE280" s="31">
        <f t="shared" si="287"/>
        <v>-95.5519804573301</v>
      </c>
      <c r="AF280" s="32" t="str">
        <f t="shared" si="288"/>
        <v>236,914774604583</v>
      </c>
      <c r="AG280" s="32" t="str">
        <f t="shared" si="270"/>
        <v>1+8,63405842187078i</v>
      </c>
      <c r="AH280" s="32">
        <f t="shared" si="289"/>
        <v>8.69177570075745</v>
      </c>
      <c r="AI280" s="32">
        <f t="shared" si="290"/>
        <v>1.45548969519962</v>
      </c>
      <c r="AJ280" s="32" t="str">
        <f t="shared" si="271"/>
        <v>1+0,410701157364665i</v>
      </c>
      <c r="AK280" s="32">
        <f t="shared" si="291"/>
        <v>1.08105293147962</v>
      </c>
      <c r="AL280" s="32">
        <f t="shared" si="292"/>
        <v>0.389697337865551</v>
      </c>
      <c r="AM280" s="32" t="str">
        <f t="shared" si="272"/>
        <v>1-0,0195228679061486i</v>
      </c>
      <c r="AN280" s="32">
        <f t="shared" si="293"/>
        <v>1.00019055303041</v>
      </c>
      <c r="AO280" s="32">
        <f t="shared" si="294"/>
        <v>-0.0195203881424871</v>
      </c>
      <c r="AP280" s="30" t="str">
        <f t="shared" si="295"/>
        <v>13,7528178700514-26,0667166781011i</v>
      </c>
      <c r="AQ280" s="32">
        <f t="shared" si="296"/>
        <v>29.388266837565</v>
      </c>
      <c r="AR280" s="31">
        <f t="shared" si="297"/>
        <v>-62.1838397675629</v>
      </c>
      <c r="AS280" t="str">
        <f t="shared" si="273"/>
        <v>-0,000272527472527473</v>
      </c>
      <c r="AT280" t="str">
        <f t="shared" si="274"/>
        <v>0,00588549426402041i</v>
      </c>
      <c r="AU280">
        <f t="shared" si="298"/>
        <v>0.00588549426402041</v>
      </c>
      <c r="AV280">
        <f t="shared" si="299"/>
        <v>1.5707963267949</v>
      </c>
      <c r="AW280" t="str">
        <f t="shared" si="275"/>
        <v>1+0,301326511251867i</v>
      </c>
      <c r="AX280">
        <f t="shared" si="300"/>
        <v>1.04441259394131</v>
      </c>
      <c r="AY280">
        <f t="shared" si="301"/>
        <v>0.292673332525617</v>
      </c>
      <c r="AZ280" t="str">
        <f t="shared" si="276"/>
        <v>1+14,405971718786i</v>
      </c>
      <c r="BA280">
        <f t="shared" si="302"/>
        <v>14.4406378377987</v>
      </c>
      <c r="BB280">
        <f t="shared" si="303"/>
        <v>1.5014918418646</v>
      </c>
      <c r="BC280" s="30" t="str">
        <f t="shared" si="304"/>
        <v>-0,598749706901798+0,22672410263203i</v>
      </c>
      <c r="BD280" s="32">
        <f t="shared" si="305"/>
        <v>-3.8731675212161</v>
      </c>
      <c r="BE280" s="31">
        <f t="shared" si="306"/>
        <v>159.260198782419</v>
      </c>
      <c r="BF280" s="30" t="str">
        <f t="shared" si="307"/>
        <v>0,813653982228431+1,64689840468807i</v>
      </c>
      <c r="BG280" s="68">
        <f t="shared" si="308"/>
        <v>5.28184613233081</v>
      </c>
      <c r="BH280" s="31">
        <f t="shared" si="309"/>
        <v>63.7082183250893</v>
      </c>
      <c r="BI280" s="30" t="str">
        <f t="shared" si="263"/>
        <v>-2,32454272136124+18,7255342611544i</v>
      </c>
      <c r="BJ280" s="68">
        <f t="shared" si="310"/>
        <v>25.5150993163489</v>
      </c>
      <c r="BK280" s="31">
        <f t="shared" si="264"/>
        <v>97.0763590148565</v>
      </c>
      <c r="BL280" s="32">
        <f t="shared" si="311"/>
        <v>5.28184613233081</v>
      </c>
      <c r="BM280" s="31">
        <f t="shared" si="312"/>
        <v>63.7082183250893</v>
      </c>
      <c r="BO280">
        <f t="shared" si="313"/>
        <v>0</v>
      </c>
      <c r="BP280">
        <f t="shared" si="314"/>
        <v>0</v>
      </c>
    </row>
    <row r="281" spans="14:68">
      <c r="N281" s="7">
        <v>63</v>
      </c>
      <c r="O281" s="18">
        <f t="shared" si="262"/>
        <v>4265.79518801593</v>
      </c>
      <c r="P281" s="86" t="str">
        <f t="shared" si="265"/>
        <v>96,0576923076923</v>
      </c>
      <c r="Q281" s="4" t="str">
        <f t="shared" si="266"/>
        <v>1+35,7775899962511i</v>
      </c>
      <c r="R281" s="4">
        <f t="shared" si="277"/>
        <v>35.7915624964858</v>
      </c>
      <c r="S281" s="4">
        <f t="shared" si="278"/>
        <v>1.54285314468714</v>
      </c>
      <c r="T281" s="4" t="str">
        <f t="shared" si="267"/>
        <v>1+0,420267616252856i</v>
      </c>
      <c r="U281" s="4">
        <f t="shared" si="279"/>
        <v>1.0847234068051</v>
      </c>
      <c r="V281" s="4">
        <f t="shared" si="280"/>
        <v>0.397855457249229</v>
      </c>
      <c r="W281" t="str">
        <f t="shared" si="268"/>
        <v>1-0,199531818940911i</v>
      </c>
      <c r="X281" s="4">
        <f t="shared" si="281"/>
        <v>1.01971218820306</v>
      </c>
      <c r="Y281" s="4">
        <f t="shared" si="282"/>
        <v>-0.196945345250029</v>
      </c>
      <c r="Z281" t="str">
        <f t="shared" si="269"/>
        <v>0,999851452991134+0,342035497159793i</v>
      </c>
      <c r="AA281" s="4">
        <f t="shared" si="283"/>
        <v>1.05673611150837</v>
      </c>
      <c r="AB281" s="4">
        <f t="shared" si="284"/>
        <v>0.329607442695063</v>
      </c>
      <c r="AC281" s="67" t="str">
        <f t="shared" si="285"/>
        <v>-0,282559211527748-2,79494635274872i</v>
      </c>
      <c r="AD281" s="68">
        <f t="shared" si="286"/>
        <v>8.97163128242114</v>
      </c>
      <c r="AE281" s="31">
        <f t="shared" si="287"/>
        <v>-95.7727874825326</v>
      </c>
      <c r="AF281" s="32" t="str">
        <f t="shared" si="288"/>
        <v>236,914774604583</v>
      </c>
      <c r="AG281" s="32" t="str">
        <f t="shared" si="270"/>
        <v>1+8,83517147804299i</v>
      </c>
      <c r="AH281" s="32">
        <f t="shared" si="289"/>
        <v>8.8915833824142</v>
      </c>
      <c r="AI281" s="32">
        <f t="shared" si="290"/>
        <v>1.45809196990275</v>
      </c>
      <c r="AJ281" s="32" t="str">
        <f t="shared" si="271"/>
        <v>1+0,420267616252856i</v>
      </c>
      <c r="AK281" s="32">
        <f t="shared" si="291"/>
        <v>1.0847234068051</v>
      </c>
      <c r="AL281" s="32">
        <f t="shared" si="292"/>
        <v>0.397855457249229</v>
      </c>
      <c r="AM281" s="32" t="str">
        <f t="shared" si="272"/>
        <v>1-0,0199776139175847i</v>
      </c>
      <c r="AN281" s="32">
        <f t="shared" si="293"/>
        <v>1.00019953262229</v>
      </c>
      <c r="AO281" s="32">
        <f t="shared" si="294"/>
        <v>-0.0199749568315769</v>
      </c>
      <c r="AP281" s="30" t="str">
        <f t="shared" si="295"/>
        <v>13,619788967034-25,4985553387747i</v>
      </c>
      <c r="AQ281" s="32">
        <f t="shared" si="296"/>
        <v>29.2203739749586</v>
      </c>
      <c r="AR281" s="31">
        <f t="shared" si="297"/>
        <v>-61.8915581831209</v>
      </c>
      <c r="AS281" t="str">
        <f t="shared" si="273"/>
        <v>-0,000272527472527473</v>
      </c>
      <c r="AT281" t="str">
        <f t="shared" si="274"/>
        <v>0,00602258503648066i</v>
      </c>
      <c r="AU281">
        <f t="shared" si="298"/>
        <v>0.00602258503648066</v>
      </c>
      <c r="AV281">
        <f t="shared" si="299"/>
        <v>1.5707963267949</v>
      </c>
      <c r="AW281" t="str">
        <f t="shared" si="275"/>
        <v>1+0,308345307352443i</v>
      </c>
      <c r="AX281">
        <f t="shared" si="300"/>
        <v>1.04645918628787</v>
      </c>
      <c r="AY281">
        <f t="shared" si="301"/>
        <v>0.299095346059901</v>
      </c>
      <c r="AZ281" t="str">
        <f t="shared" si="276"/>
        <v>1+14,7415299068285i</v>
      </c>
      <c r="BA281">
        <f t="shared" si="302"/>
        <v>14.7754087589454</v>
      </c>
      <c r="BB281">
        <f t="shared" si="303"/>
        <v>1.50306452829273</v>
      </c>
      <c r="BC281" s="30" t="str">
        <f t="shared" si="304"/>
        <v>-0,596410010694146+0,229151141222695i</v>
      </c>
      <c r="BD281" s="32">
        <f t="shared" si="305"/>
        <v>-3.89110885295706</v>
      </c>
      <c r="BE281" s="31">
        <f t="shared" si="306"/>
        <v>158.982352805758</v>
      </c>
      <c r="BF281" s="30" t="str">
        <f t="shared" si="307"/>
        <v>0,808986288757572+1,60218521834786i</v>
      </c>
      <c r="BG281" s="68">
        <f t="shared" si="308"/>
        <v>5.08052242946408</v>
      </c>
      <c r="BH281" s="31">
        <f t="shared" si="309"/>
        <v>63.2095653232256</v>
      </c>
      <c r="BI281" s="30" t="str">
        <f t="shared" si="263"/>
        <v>-2,27995542807049+18,328583847292i</v>
      </c>
      <c r="BJ281" s="68">
        <f t="shared" si="310"/>
        <v>25.3292651220016</v>
      </c>
      <c r="BK281" s="31">
        <f t="shared" si="264"/>
        <v>97.0907946226374</v>
      </c>
      <c r="BL281" s="32">
        <f t="shared" si="311"/>
        <v>5.08052242946408</v>
      </c>
      <c r="BM281" s="31">
        <f t="shared" si="312"/>
        <v>63.2095653232256</v>
      </c>
      <c r="BO281">
        <f t="shared" si="313"/>
        <v>0</v>
      </c>
      <c r="BP281">
        <f t="shared" si="314"/>
        <v>0</v>
      </c>
    </row>
    <row r="282" spans="14:68">
      <c r="N282" s="7">
        <v>64</v>
      </c>
      <c r="O282" s="18">
        <f t="shared" si="262"/>
        <v>4365.15832240166</v>
      </c>
      <c r="P282" s="86" t="str">
        <f t="shared" si="265"/>
        <v>96,0576923076923</v>
      </c>
      <c r="Q282" s="4" t="str">
        <f t="shared" si="266"/>
        <v>1+36,6109571238577i</v>
      </c>
      <c r="R282" s="4">
        <f t="shared" si="277"/>
        <v>36.6246116911149</v>
      </c>
      <c r="S282" s="4">
        <f t="shared" si="278"/>
        <v>1.54348888932803</v>
      </c>
      <c r="T282" s="4" t="str">
        <f t="shared" si="267"/>
        <v>1+0,430056906594084i</v>
      </c>
      <c r="U282" s="4">
        <f t="shared" si="279"/>
        <v>1.08855360130279</v>
      </c>
      <c r="V282" s="4">
        <f t="shared" si="280"/>
        <v>0.406146083820919</v>
      </c>
      <c r="W282" t="str">
        <f t="shared" si="268"/>
        <v>1-0,204179512059267i</v>
      </c>
      <c r="X282" s="4">
        <f t="shared" si="281"/>
        <v>1.02063180096681</v>
      </c>
      <c r="Y282" s="4">
        <f t="shared" si="282"/>
        <v>-0.201411072367847</v>
      </c>
      <c r="Z282" t="str">
        <f t="shared" si="269"/>
        <v>0,999844452186289+0,350002527354879i</v>
      </c>
      <c r="AA282" s="4">
        <f t="shared" si="283"/>
        <v>1.0593350261945</v>
      </c>
      <c r="AB282" s="4">
        <f t="shared" si="284"/>
        <v>0.336725578353476</v>
      </c>
      <c r="AC282" s="67" t="str">
        <f t="shared" si="285"/>
        <v>-0,287427225811804-2,7356512003783i</v>
      </c>
      <c r="AD282" s="68">
        <f t="shared" si="286"/>
        <v>8.78889405742545</v>
      </c>
      <c r="AE282" s="31">
        <f t="shared" si="287"/>
        <v>-95.9979015027635</v>
      </c>
      <c r="AF282" s="32" t="str">
        <f t="shared" si="288"/>
        <v>236,914774604583</v>
      </c>
      <c r="AG282" s="32" t="str">
        <f t="shared" si="270"/>
        <v>1+9,04096905908017i</v>
      </c>
      <c r="AH282" s="32">
        <f t="shared" si="289"/>
        <v>9.09610474473799</v>
      </c>
      <c r="AI282" s="32">
        <f t="shared" si="290"/>
        <v>1.46063649170324</v>
      </c>
      <c r="AJ282" s="32" t="str">
        <f t="shared" si="271"/>
        <v>1+0,430056906594084i</v>
      </c>
      <c r="AK282" s="32">
        <f t="shared" si="291"/>
        <v>1.08855360130279</v>
      </c>
      <c r="AL282" s="32">
        <f t="shared" si="292"/>
        <v>0.406146083820919</v>
      </c>
      <c r="AM282" s="32" t="str">
        <f t="shared" si="272"/>
        <v>1-0,0204429523243549i</v>
      </c>
      <c r="AN282" s="32">
        <f t="shared" si="293"/>
        <v>1.00020893532288</v>
      </c>
      <c r="AO282" s="32">
        <f t="shared" si="294"/>
        <v>-0.0204401052375221</v>
      </c>
      <c r="AP282" s="30" t="str">
        <f t="shared" si="295"/>
        <v>13,4925992136756-24,9425743667055i</v>
      </c>
      <c r="AQ282" s="32">
        <f t="shared" si="296"/>
        <v>29.0535448284953</v>
      </c>
      <c r="AR282" s="31">
        <f t="shared" si="297"/>
        <v>-61.5889816715989</v>
      </c>
      <c r="AS282" t="str">
        <f t="shared" si="273"/>
        <v>-0,000272527472527473</v>
      </c>
      <c r="AT282" t="str">
        <f t="shared" si="274"/>
        <v>0,00616286906324558i</v>
      </c>
      <c r="AU282">
        <f t="shared" si="298"/>
        <v>0.00616286906324558</v>
      </c>
      <c r="AV282">
        <f t="shared" si="299"/>
        <v>1.5707963267949</v>
      </c>
      <c r="AW282" t="str">
        <f t="shared" si="275"/>
        <v>1+0,31552759221641i</v>
      </c>
      <c r="AX282">
        <f t="shared" si="300"/>
        <v>1.04859795033649</v>
      </c>
      <c r="AY282">
        <f t="shared" si="301"/>
        <v>0.305640719470362</v>
      </c>
      <c r="AZ282" t="str">
        <f t="shared" si="276"/>
        <v>1+15,0849042491547i</v>
      </c>
      <c r="BA282">
        <f t="shared" si="302"/>
        <v>15.1180136329534</v>
      </c>
      <c r="BB282">
        <f t="shared" si="303"/>
        <v>1.50460174032304</v>
      </c>
      <c r="BC282" s="30" t="str">
        <f t="shared" si="304"/>
        <v>-0,593979566451221+0,231637819057264i</v>
      </c>
      <c r="BD282" s="32">
        <f t="shared" si="305"/>
        <v>-3.90973848218353</v>
      </c>
      <c r="BE282" s="31">
        <f t="shared" si="306"/>
        <v>158.695406295555</v>
      </c>
      <c r="BF282" s="30" t="str">
        <f t="shared" si="307"/>
        <v>0,804406176730988+1,55834189823774i</v>
      </c>
      <c r="BG282" s="68">
        <f t="shared" si="308"/>
        <v>4.87915557524193</v>
      </c>
      <c r="BH282" s="31">
        <f t="shared" si="309"/>
        <v>62.697504792792</v>
      </c>
      <c r="BI282" s="30" t="str">
        <f t="shared" si="263"/>
        <v>-2,23668470326184+17,9407757637826i</v>
      </c>
      <c r="BJ282" s="68">
        <f t="shared" si="310"/>
        <v>25.1438063463117</v>
      </c>
      <c r="BK282" s="31">
        <f t="shared" si="264"/>
        <v>97.1064246239565</v>
      </c>
      <c r="BL282" s="32">
        <f t="shared" si="311"/>
        <v>4.87915557524193</v>
      </c>
      <c r="BM282" s="31">
        <f t="shared" si="312"/>
        <v>62.697504792792</v>
      </c>
      <c r="BO282">
        <f t="shared" si="313"/>
        <v>0</v>
      </c>
      <c r="BP282">
        <f t="shared" si="314"/>
        <v>0</v>
      </c>
    </row>
    <row r="283" spans="14:68">
      <c r="N283" s="7">
        <v>65</v>
      </c>
      <c r="O283" s="18">
        <f t="shared" si="262"/>
        <v>4466.83592150963</v>
      </c>
      <c r="P283" s="86" t="str">
        <f t="shared" si="265"/>
        <v>96,0576923076923</v>
      </c>
      <c r="Q283" s="4" t="str">
        <f t="shared" si="266"/>
        <v>1+37,4637358655347i</v>
      </c>
      <c r="R283" s="4">
        <f t="shared" si="277"/>
        <v>37.4770797288496</v>
      </c>
      <c r="S283" s="4">
        <f t="shared" si="278"/>
        <v>1.54411018398972</v>
      </c>
      <c r="T283" s="4" t="str">
        <f t="shared" si="267"/>
        <v>1+0,440074218799665i</v>
      </c>
      <c r="U283" s="4">
        <f t="shared" si="279"/>
        <v>1.09254991558836</v>
      </c>
      <c r="V283" s="4">
        <f t="shared" si="280"/>
        <v>0.414569053513269</v>
      </c>
      <c r="W283" t="str">
        <f t="shared" si="268"/>
        <v>1-0,208935463857551i</v>
      </c>
      <c r="X283" s="4">
        <f t="shared" si="281"/>
        <v>1.02159386649361</v>
      </c>
      <c r="Y283" s="4">
        <f t="shared" si="282"/>
        <v>-0.205972403251206</v>
      </c>
      <c r="Z283" t="str">
        <f t="shared" si="269"/>
        <v>0,999837121443676+0,358155133522801i</v>
      </c>
      <c r="AA283" s="4">
        <f t="shared" si="283"/>
        <v>1.0620496076387</v>
      </c>
      <c r="AB283" s="4">
        <f t="shared" si="284"/>
        <v>0.343973128880467</v>
      </c>
      <c r="AC283" s="67" t="str">
        <f t="shared" si="285"/>
        <v>-0,292197614193534-2,67775483996697i</v>
      </c>
      <c r="AD283" s="68">
        <f t="shared" si="286"/>
        <v>8.60682336166225</v>
      </c>
      <c r="AE283" s="31">
        <f t="shared" si="287"/>
        <v>-96.2274975159576</v>
      </c>
      <c r="AF283" s="32" t="str">
        <f t="shared" si="288"/>
        <v>236,914774604583</v>
      </c>
      <c r="AG283" s="32" t="str">
        <f t="shared" si="270"/>
        <v>1+9,25156028158386i</v>
      </c>
      <c r="AH283" s="32">
        <f t="shared" si="289"/>
        <v>9.30544827742221</v>
      </c>
      <c r="AI283" s="32">
        <f t="shared" si="290"/>
        <v>1.46312447787088</v>
      </c>
      <c r="AJ283" s="32" t="str">
        <f t="shared" si="271"/>
        <v>1+0,440074218799665i</v>
      </c>
      <c r="AK283" s="32">
        <f t="shared" si="291"/>
        <v>1.09254991558836</v>
      </c>
      <c r="AL283" s="32">
        <f t="shared" si="292"/>
        <v>0.414569053513269</v>
      </c>
      <c r="AM283" s="32" t="str">
        <f t="shared" si="272"/>
        <v>1-0,0209191298550419i</v>
      </c>
      <c r="AN283" s="32">
        <f t="shared" si="293"/>
        <v>1.00021878106437</v>
      </c>
      <c r="AO283" s="32">
        <f t="shared" si="294"/>
        <v>-0.0209160791825753</v>
      </c>
      <c r="AP283" s="30" t="str">
        <f t="shared" si="295"/>
        <v>13,3709986082681-24,3985662276867i</v>
      </c>
      <c r="AQ283" s="32">
        <f t="shared" si="296"/>
        <v>28.8878227715176</v>
      </c>
      <c r="AR283" s="31">
        <f t="shared" si="297"/>
        <v>-61.2762034623629</v>
      </c>
      <c r="AS283" t="str">
        <f t="shared" si="273"/>
        <v>-0,000272527472527473</v>
      </c>
      <c r="AT283" t="str">
        <f t="shared" si="274"/>
        <v>0,00630642072476306i</v>
      </c>
      <c r="AU283">
        <f t="shared" si="298"/>
        <v>0.00630642072476306</v>
      </c>
      <c r="AV283">
        <f t="shared" si="299"/>
        <v>1.5707963267949</v>
      </c>
      <c r="AW283" t="str">
        <f t="shared" si="275"/>
        <v>1+0,322877173986272i</v>
      </c>
      <c r="AX283">
        <f t="shared" si="300"/>
        <v>1.05083284564262</v>
      </c>
      <c r="AY283">
        <f t="shared" si="301"/>
        <v>0.312310679062151</v>
      </c>
      <c r="AZ283" t="str">
        <f t="shared" si="276"/>
        <v>1+15,4362768073862i</v>
      </c>
      <c r="BA283">
        <f t="shared" si="302"/>
        <v>15.4686341243902</v>
      </c>
      <c r="BB283">
        <f t="shared" si="303"/>
        <v>1.50610426392965</v>
      </c>
      <c r="BC283" s="30" t="str">
        <f t="shared" si="304"/>
        <v>-0,59145571974033+0,234181837913088i</v>
      </c>
      <c r="BD283" s="32">
        <f t="shared" si="305"/>
        <v>-3.92908647836029</v>
      </c>
      <c r="BE283" s="31">
        <f t="shared" si="306"/>
        <v>158.3993340227</v>
      </c>
      <c r="BF283" s="30" t="str">
        <f t="shared" si="307"/>
        <v>0,799903500113376+1,51534604183516i</v>
      </c>
      <c r="BG283" s="68">
        <f t="shared" si="308"/>
        <v>4.67773688330198</v>
      </c>
      <c r="BH283" s="31">
        <f t="shared" si="309"/>
        <v>62.1718365067427</v>
      </c>
      <c r="BI283" s="30" t="str">
        <f t="shared" si="263"/>
        <v>-2,19465252385629+17,5619165776461i</v>
      </c>
      <c r="BJ283" s="68">
        <f t="shared" si="310"/>
        <v>24.9587362931573</v>
      </c>
      <c r="BK283" s="31">
        <f t="shared" si="264"/>
        <v>97.1231305603372</v>
      </c>
      <c r="BL283" s="32">
        <f t="shared" si="311"/>
        <v>4.67773688330198</v>
      </c>
      <c r="BM283" s="31">
        <f t="shared" si="312"/>
        <v>62.1718365067427</v>
      </c>
      <c r="BO283">
        <f t="shared" si="313"/>
        <v>0</v>
      </c>
      <c r="BP283">
        <f t="shared" si="314"/>
        <v>0</v>
      </c>
    </row>
    <row r="284" spans="14:68">
      <c r="N284" s="7">
        <v>66</v>
      </c>
      <c r="O284" s="18">
        <f t="shared" ref="O284:O318" si="315">10^(3+(N284/100))</f>
        <v>4570.88189614875</v>
      </c>
      <c r="P284" s="86" t="str">
        <f t="shared" si="265"/>
        <v>96,0576923076923</v>
      </c>
      <c r="Q284" s="4" t="str">
        <f t="shared" si="266"/>
        <v>1+38,3363783758588i</v>
      </c>
      <c r="R284" s="4">
        <f t="shared" si="277"/>
        <v>38.3494186002476</v>
      </c>
      <c r="S284" s="4">
        <f t="shared" si="278"/>
        <v>1.54471735617117</v>
      </c>
      <c r="T284" s="4" t="str">
        <f t="shared" si="267"/>
        <v>1+0,450324864181125i</v>
      </c>
      <c r="U284" s="4">
        <f t="shared" si="279"/>
        <v>1.0967189627702</v>
      </c>
      <c r="V284" s="4">
        <f t="shared" si="280"/>
        <v>0.423124050610303</v>
      </c>
      <c r="W284" t="str">
        <f t="shared" si="268"/>
        <v>1-0,213802196004361i</v>
      </c>
      <c r="X284" s="4">
        <f t="shared" si="281"/>
        <v>1.02260030266781</v>
      </c>
      <c r="Y284" s="4">
        <f t="shared" si="282"/>
        <v>-0.210630996806096</v>
      </c>
      <c r="Z284" t="str">
        <f t="shared" si="269"/>
        <v>0,999829445213808+0,36649763828326i</v>
      </c>
      <c r="AA284" s="4">
        <f t="shared" si="283"/>
        <v>1.06488470661558</v>
      </c>
      <c r="AB284" s="4">
        <f t="shared" si="284"/>
        <v>0.351350903587682</v>
      </c>
      <c r="AC284" s="67" t="str">
        <f t="shared" si="285"/>
        <v>-0,296878529697136-2,62122473499807i</v>
      </c>
      <c r="AD284" s="68">
        <f t="shared" si="286"/>
        <v>8.42544088852034</v>
      </c>
      <c r="AE284" s="31">
        <f t="shared" si="287"/>
        <v>-96.4617537940695</v>
      </c>
      <c r="AF284" s="32" t="str">
        <f t="shared" si="288"/>
        <v>236,914774604583</v>
      </c>
      <c r="AG284" s="32" t="str">
        <f t="shared" si="270"/>
        <v>1+9,46705680380773i</v>
      </c>
      <c r="AH284" s="32">
        <f t="shared" si="289"/>
        <v>9.51972502368226</v>
      </c>
      <c r="AI284" s="32">
        <f t="shared" si="290"/>
        <v>1.46555712429532</v>
      </c>
      <c r="AJ284" s="32" t="str">
        <f t="shared" si="271"/>
        <v>1+0,450324864181125i</v>
      </c>
      <c r="AK284" s="32">
        <f t="shared" si="291"/>
        <v>1.0967189627702</v>
      </c>
      <c r="AL284" s="32">
        <f t="shared" si="292"/>
        <v>0.423124050610303</v>
      </c>
      <c r="AM284" s="32" t="str">
        <f t="shared" si="272"/>
        <v>1-0,0214063989852755i</v>
      </c>
      <c r="AN284" s="32">
        <f t="shared" si="293"/>
        <v>1.00022909071748</v>
      </c>
      <c r="AO284" s="32">
        <f t="shared" si="294"/>
        <v>-0.0214031301712683</v>
      </c>
      <c r="AP284" s="30" t="str">
        <f t="shared" si="295"/>
        <v>13,2547473038587-23,8663241401295i</v>
      </c>
      <c r="AQ284" s="32">
        <f t="shared" si="296"/>
        <v>28.7232515076232</v>
      </c>
      <c r="AR284" s="31">
        <f t="shared" si="297"/>
        <v>-60.9533245741845</v>
      </c>
      <c r="AS284" t="str">
        <f t="shared" si="273"/>
        <v>-0,000272527472527473</v>
      </c>
      <c r="AT284" t="str">
        <f t="shared" si="274"/>
        <v>0,00645331613402415i</v>
      </c>
      <c r="AU284">
        <f t="shared" si="298"/>
        <v>0.00645331613402415</v>
      </c>
      <c r="AV284">
        <f t="shared" si="299"/>
        <v>1.5707963267949</v>
      </c>
      <c r="AW284" t="str">
        <f t="shared" si="275"/>
        <v>1+0,330397949507566i</v>
      </c>
      <c r="AX284">
        <f t="shared" si="300"/>
        <v>1.05316798519458</v>
      </c>
      <c r="AY284">
        <f t="shared" si="301"/>
        <v>0.319106386616183</v>
      </c>
      <c r="AZ284" t="str">
        <f t="shared" si="276"/>
        <v>1+15,7958338839042i</v>
      </c>
      <c r="BA284">
        <f t="shared" si="302"/>
        <v>15.8274561470849</v>
      </c>
      <c r="BB284">
        <f t="shared" si="303"/>
        <v>1.50757286861865</v>
      </c>
      <c r="BC284" s="30" t="str">
        <f t="shared" si="304"/>
        <v>-0,588835813885114+0,23678075483248i</v>
      </c>
      <c r="BD284" s="32">
        <f t="shared" si="305"/>
        <v>-3.94918364144462</v>
      </c>
      <c r="BE284" s="31">
        <f t="shared" si="306"/>
        <v>158.094113511502</v>
      </c>
      <c r="BF284" s="30" t="str">
        <f t="shared" si="307"/>
        <v>0,79546828199764+1,47317587785314i</v>
      </c>
      <c r="BG284" s="68">
        <f t="shared" si="308"/>
        <v>4.47625724707574</v>
      </c>
      <c r="BH284" s="31">
        <f t="shared" si="309"/>
        <v>61.6323597174327</v>
      </c>
      <c r="BI284" s="30" t="str">
        <f t="shared" si="263"/>
        <v>-2,15378367153265+17,1918154712205i</v>
      </c>
      <c r="BJ284" s="68">
        <f t="shared" si="310"/>
        <v>24.7740678661785</v>
      </c>
      <c r="BK284" s="31">
        <f t="shared" si="264"/>
        <v>97.1407889373178</v>
      </c>
      <c r="BL284" s="32">
        <f t="shared" si="311"/>
        <v>4.47625724707574</v>
      </c>
      <c r="BM284" s="31">
        <f t="shared" si="312"/>
        <v>61.6323597174327</v>
      </c>
      <c r="BO284">
        <f t="shared" si="313"/>
        <v>0</v>
      </c>
      <c r="BP284">
        <f t="shared" si="314"/>
        <v>0</v>
      </c>
    </row>
    <row r="285" spans="14:68">
      <c r="N285" s="7">
        <v>67</v>
      </c>
      <c r="O285" s="18">
        <f t="shared" si="315"/>
        <v>4677.35141287198</v>
      </c>
      <c r="P285" s="86" t="str">
        <f t="shared" si="265"/>
        <v>96,0576923076923</v>
      </c>
      <c r="Q285" s="4" t="str">
        <f t="shared" si="266"/>
        <v>1+39,2293473414397i</v>
      </c>
      <c r="R285" s="4">
        <f t="shared" si="277"/>
        <v>39.2420908315972</v>
      </c>
      <c r="S285" s="4">
        <f t="shared" si="278"/>
        <v>1.54531072601137</v>
      </c>
      <c r="T285" s="4" t="str">
        <f t="shared" si="267"/>
        <v>1+0,460814277766327i</v>
      </c>
      <c r="U285" s="4">
        <f t="shared" si="279"/>
        <v>1.10106757221948</v>
      </c>
      <c r="V285" s="4">
        <f t="shared" si="280"/>
        <v>0.431810601057653</v>
      </c>
      <c r="W285" t="str">
        <f t="shared" si="268"/>
        <v>1-0,218782288905499i</v>
      </c>
      <c r="X285" s="4">
        <f t="shared" si="281"/>
        <v>1.02365311015926</v>
      </c>
      <c r="Y285" s="4">
        <f t="shared" si="282"/>
        <v>-0.215388513878866</v>
      </c>
      <c r="Z285" t="str">
        <f t="shared" si="269"/>
        <v>0,999821407214372+0,375034464942706i</v>
      </c>
      <c r="AA285" s="4">
        <f t="shared" si="283"/>
        <v>1.0678453522018</v>
      </c>
      <c r="AB285" s="4">
        <f t="shared" si="284"/>
        <v>0.35885961446546</v>
      </c>
      <c r="AC285" s="67" t="str">
        <f t="shared" si="285"/>
        <v>-0,301477795379833-2,56602893527815i</v>
      </c>
      <c r="AD285" s="68">
        <f t="shared" si="286"/>
        <v>8.24476862259083</v>
      </c>
      <c r="AE285" s="31">
        <f t="shared" si="287"/>
        <v>-96.7008517945548</v>
      </c>
      <c r="AF285" s="32" t="str">
        <f t="shared" si="288"/>
        <v>236,914774604583</v>
      </c>
      <c r="AG285" s="32" t="str">
        <f t="shared" si="270"/>
        <v>1+9,68757288486028i</v>
      </c>
      <c r="AH285" s="32">
        <f t="shared" si="289"/>
        <v>9.73904863934256</v>
      </c>
      <c r="AI285" s="32">
        <f t="shared" si="290"/>
        <v>1.46793560556845</v>
      </c>
      <c r="AJ285" s="32" t="str">
        <f t="shared" si="271"/>
        <v>1+0,460814277766327i</v>
      </c>
      <c r="AK285" s="32">
        <f t="shared" si="291"/>
        <v>1.10106757221948</v>
      </c>
      <c r="AL285" s="32">
        <f t="shared" si="292"/>
        <v>0.431810601057653</v>
      </c>
      <c r="AM285" s="32" t="str">
        <f t="shared" si="272"/>
        <v>1-0,0219050180715982i</v>
      </c>
      <c r="AN285" s="32">
        <f t="shared" si="293"/>
        <v>1.00023988613568</v>
      </c>
      <c r="AO285" s="32">
        <f t="shared" si="294"/>
        <v>-0.0219015155196514</v>
      </c>
      <c r="AP285" s="30" t="str">
        <f t="shared" si="295"/>
        <v>13,1436152440338-23,3456423146971i</v>
      </c>
      <c r="AQ285" s="32">
        <f t="shared" si="296"/>
        <v>28.5598750301363</v>
      </c>
      <c r="AR285" s="31">
        <f t="shared" si="297"/>
        <v>-60.6204542106584</v>
      </c>
      <c r="AS285" t="str">
        <f t="shared" si="273"/>
        <v>-0,000272527472527473</v>
      </c>
      <c r="AT285" t="str">
        <f t="shared" si="274"/>
        <v>0,00660363317691924i</v>
      </c>
      <c r="AU285">
        <f t="shared" si="298"/>
        <v>0.00660363317691924</v>
      </c>
      <c r="AV285">
        <f t="shared" si="299"/>
        <v>1.5707963267949</v>
      </c>
      <c r="AW285" t="str">
        <f t="shared" si="275"/>
        <v>1+0,338093906395022i</v>
      </c>
      <c r="AX285">
        <f t="shared" si="300"/>
        <v>1.05560763995977</v>
      </c>
      <c r="AY285">
        <f t="shared" si="301"/>
        <v>0.326028933748867</v>
      </c>
      <c r="AZ285" t="str">
        <f t="shared" si="276"/>
        <v>1+16,1637661206301i</v>
      </c>
      <c r="BA285">
        <f t="shared" si="302"/>
        <v>16.194669962751</v>
      </c>
      <c r="BB285">
        <f t="shared" si="303"/>
        <v>1.50900830770954</v>
      </c>
      <c r="BC285" s="30" t="str">
        <f t="shared" si="304"/>
        <v>-0,586117197601253+0,239431976241492i</v>
      </c>
      <c r="BD285" s="32">
        <f t="shared" si="305"/>
        <v>-3.97006150502498</v>
      </c>
      <c r="BE285" s="31">
        <f t="shared" si="306"/>
        <v>157.779725378975</v>
      </c>
      <c r="BF285" s="30" t="str">
        <f t="shared" si="307"/>
        <v>0,791090699633531+1,43181026416823i</v>
      </c>
      <c r="BG285" s="68">
        <f t="shared" si="308"/>
        <v>4.27470711756583</v>
      </c>
      <c r="BH285" s="31">
        <f t="shared" si="309"/>
        <v>61.0788735844198</v>
      </c>
      <c r="BI285" s="30" t="str">
        <f t="shared" si="263"/>
        <v>-2,11400565714727+16,8302842225283i</v>
      </c>
      <c r="BJ285" s="68">
        <f t="shared" si="310"/>
        <v>24.5898135251113</v>
      </c>
      <c r="BK285" s="31">
        <f t="shared" si="264"/>
        <v>97.1592711683162</v>
      </c>
      <c r="BL285" s="32">
        <f t="shared" si="311"/>
        <v>4.27470711756583</v>
      </c>
      <c r="BM285" s="31">
        <f t="shared" si="312"/>
        <v>61.0788735844198</v>
      </c>
      <c r="BO285">
        <f t="shared" si="313"/>
        <v>0</v>
      </c>
      <c r="BP285">
        <f t="shared" si="314"/>
        <v>0</v>
      </c>
    </row>
    <row r="286" spans="14:68">
      <c r="N286" s="7">
        <v>68</v>
      </c>
      <c r="O286" s="18">
        <f t="shared" si="315"/>
        <v>4786.30092322638</v>
      </c>
      <c r="P286" s="86" t="str">
        <f t="shared" si="265"/>
        <v>96,0576923076923</v>
      </c>
      <c r="Q286" s="4" t="str">
        <f t="shared" si="266"/>
        <v>1+40,1431162262429i</v>
      </c>
      <c r="R286" s="4">
        <f t="shared" si="277"/>
        <v>40.1555697301588</v>
      </c>
      <c r="S286" s="4">
        <f t="shared" si="278"/>
        <v>1.54589060645057</v>
      </c>
      <c r="T286" s="4" t="str">
        <f t="shared" si="267"/>
        <v>1+0,4715480211812i</v>
      </c>
      <c r="U286" s="4">
        <f t="shared" si="279"/>
        <v>1.1056027931766</v>
      </c>
      <c r="V286" s="4">
        <f t="shared" si="280"/>
        <v>0.440628065916359</v>
      </c>
      <c r="W286" t="str">
        <f t="shared" si="268"/>
        <v>1-0,22387838307214i</v>
      </c>
      <c r="X286" s="4">
        <f t="shared" si="281"/>
        <v>1.02475437564667</v>
      </c>
      <c r="Y286" s="4">
        <f t="shared" si="282"/>
        <v>-0.220246615118764</v>
      </c>
      <c r="Z286" t="str">
        <f t="shared" si="269"/>
        <v>0,999812990395692+0,383770139839634i</v>
      </c>
      <c r="AA286" s="4">
        <f t="shared" si="283"/>
        <v>1.070936756301</v>
      </c>
      <c r="AB286" s="4">
        <f t="shared" si="284"/>
        <v>0.366499869634591</v>
      </c>
      <c r="AC286" s="67" t="str">
        <f t="shared" si="285"/>
        <v>-0,306002912095312-2,51213606138718i</v>
      </c>
      <c r="AD286" s="68">
        <f t="shared" si="286"/>
        <v>8.0648288190441</v>
      </c>
      <c r="AE286" s="31">
        <f t="shared" si="287"/>
        <v>-96.9449760470217</v>
      </c>
      <c r="AF286" s="32" t="str">
        <f t="shared" si="288"/>
        <v>236,914774604583</v>
      </c>
      <c r="AG286" s="32" t="str">
        <f t="shared" si="270"/>
        <v>1+9,91322544528658i</v>
      </c>
      <c r="AH286" s="32">
        <f t="shared" si="289"/>
        <v>9.96353545329555</v>
      </c>
      <c r="AI286" s="32">
        <f t="shared" si="290"/>
        <v>1.47026107508987</v>
      </c>
      <c r="AJ286" s="32" t="str">
        <f t="shared" si="271"/>
        <v>1+0,4715480211812i</v>
      </c>
      <c r="AK286" s="32">
        <f t="shared" si="291"/>
        <v>1.1056027931766</v>
      </c>
      <c r="AL286" s="32">
        <f t="shared" si="292"/>
        <v>0.440628065916359</v>
      </c>
      <c r="AM286" s="32" t="str">
        <f t="shared" si="272"/>
        <v>1-0,0224152514884497i</v>
      </c>
      <c r="AN286" s="32">
        <f t="shared" si="293"/>
        <v>1.00025119020139</v>
      </c>
      <c r="AO286" s="32">
        <f t="shared" si="294"/>
        <v>-0.0224114984873223</v>
      </c>
      <c r="AP286" s="30" t="str">
        <f t="shared" si="295"/>
        <v>13,037381807395-22,8363161736946i</v>
      </c>
      <c r="AQ286" s="32">
        <f t="shared" si="296"/>
        <v>28.3977375764406</v>
      </c>
      <c r="AR286" s="31">
        <f t="shared" si="297"/>
        <v>-60.2777101488845</v>
      </c>
      <c r="AS286" t="str">
        <f t="shared" si="273"/>
        <v>-0,000272527472527473</v>
      </c>
      <c r="AT286" t="str">
        <f t="shared" si="274"/>
        <v>0,00675745155353415i</v>
      </c>
      <c r="AU286">
        <f t="shared" si="298"/>
        <v>0.00675745155353415</v>
      </c>
      <c r="AV286">
        <f t="shared" si="299"/>
        <v>1.5707963267949</v>
      </c>
      <c r="AW286" t="str">
        <f t="shared" si="275"/>
        <v>1+0,345969125146852i</v>
      </c>
      <c r="AX286">
        <f t="shared" si="300"/>
        <v>1.05815624345126</v>
      </c>
      <c r="AY286">
        <f t="shared" si="301"/>
        <v>0.333079336078434</v>
      </c>
      <c r="AZ286" t="str">
        <f t="shared" si="276"/>
        <v>1+16,5402686001058i</v>
      </c>
      <c r="BA286">
        <f t="shared" si="302"/>
        <v>16.5704702819095</v>
      </c>
      <c r="BB286">
        <f t="shared" si="303"/>
        <v>1.51041131861614</v>
      </c>
      <c r="BC286" s="30" t="str">
        <f t="shared" si="304"/>
        <v>-0,583297233278661+0,242132752309616i</v>
      </c>
      <c r="BD286" s="32">
        <f t="shared" si="305"/>
        <v>-3.99175233687174</v>
      </c>
      <c r="BE286" s="31">
        <f t="shared" si="306"/>
        <v>157.456153685181</v>
      </c>
      <c r="BF286" s="30" t="str">
        <f t="shared" si="307"/>
        <v>0,786761070720325+1,3912286869063i</v>
      </c>
      <c r="BG286" s="68">
        <f t="shared" si="308"/>
        <v>4.07307648217236</v>
      </c>
      <c r="BH286" s="31">
        <f t="shared" si="309"/>
        <v>60.511177638159</v>
      </c>
      <c r="BI286" s="30" t="str">
        <f t="shared" si="263"/>
        <v>-2,07524864970178+16,4771371823287i</v>
      </c>
      <c r="BJ286" s="68">
        <f t="shared" si="310"/>
        <v>24.4059852395688</v>
      </c>
      <c r="BK286" s="31">
        <f t="shared" si="264"/>
        <v>97.1784435362961</v>
      </c>
      <c r="BL286" s="32">
        <f t="shared" si="311"/>
        <v>4.07307648217236</v>
      </c>
      <c r="BM286" s="31">
        <f t="shared" si="312"/>
        <v>60.511177638159</v>
      </c>
      <c r="BO286">
        <f t="shared" si="313"/>
        <v>0</v>
      </c>
      <c r="BP286">
        <f t="shared" si="314"/>
        <v>0</v>
      </c>
    </row>
    <row r="287" spans="14:68">
      <c r="N287" s="7">
        <v>69</v>
      </c>
      <c r="O287" s="18">
        <f t="shared" si="315"/>
        <v>4897.78819368446</v>
      </c>
      <c r="P287" s="86" t="str">
        <f t="shared" si="265"/>
        <v>96,0576923076923</v>
      </c>
      <c r="Q287" s="4" t="str">
        <f t="shared" si="266"/>
        <v>1+41,0781695226261i</v>
      </c>
      <c r="R287" s="4">
        <f t="shared" si="277"/>
        <v>41.0903396351211</v>
      </c>
      <c r="S287" s="4">
        <f t="shared" si="278"/>
        <v>1.54645730338822</v>
      </c>
      <c r="T287" s="4" t="str">
        <f t="shared" si="267"/>
        <v>1+0,482531785598578i</v>
      </c>
      <c r="U287" s="4">
        <f t="shared" si="279"/>
        <v>1.11033189817863</v>
      </c>
      <c r="V287" s="4">
        <f t="shared" si="280"/>
        <v>0.449575635005314</v>
      </c>
      <c r="W287" t="str">
        <f t="shared" si="268"/>
        <v>1-0,229093180520867i</v>
      </c>
      <c r="X287" s="4">
        <f t="shared" si="281"/>
        <v>1.0259062751349</v>
      </c>
      <c r="Y287" s="4">
        <f t="shared" si="282"/>
        <v>-0.22520695868262</v>
      </c>
      <c r="Z287" t="str">
        <f t="shared" si="269"/>
        <v>0,99980417690457+0,392709294744502i</v>
      </c>
      <c r="AA287" s="4">
        <f t="shared" si="283"/>
        <v>1.07416431812575</v>
      </c>
      <c r="AB287" s="4">
        <f t="shared" si="284"/>
        <v>0.374272166682605</v>
      </c>
      <c r="AC287" s="67" t="str">
        <f t="shared" si="285"/>
        <v>-0,310461065314545-2,45951528962863i</v>
      </c>
      <c r="AD287" s="68">
        <f t="shared" si="286"/>
        <v>7.88564398153961</v>
      </c>
      <c r="AE287" s="31">
        <f t="shared" si="287"/>
        <v>-97.1943140132304</v>
      </c>
      <c r="AF287" s="32" t="str">
        <f t="shared" si="288"/>
        <v>236,914774604583</v>
      </c>
      <c r="AG287" s="32" t="str">
        <f t="shared" si="270"/>
        <v>1+10,144134129061i</v>
      </c>
      <c r="AH287" s="32">
        <f t="shared" si="289"/>
        <v>10.1933045293654</v>
      </c>
      <c r="AI287" s="32">
        <f t="shared" si="290"/>
        <v>1.47253466519369</v>
      </c>
      <c r="AJ287" s="32" t="str">
        <f t="shared" si="271"/>
        <v>1+0,482531785598578i</v>
      </c>
      <c r="AK287" s="32">
        <f t="shared" si="291"/>
        <v>1.11033189817863</v>
      </c>
      <c r="AL287" s="32">
        <f t="shared" si="292"/>
        <v>0.449575635005314</v>
      </c>
      <c r="AM287" s="32" t="str">
        <f t="shared" si="272"/>
        <v>1-0,0229373697683413i</v>
      </c>
      <c r="AN287" s="32">
        <f t="shared" si="293"/>
        <v>1.00026302687438</v>
      </c>
      <c r="AO287" s="32">
        <f t="shared" si="294"/>
        <v>-0.0229333484122908</v>
      </c>
      <c r="AP287" s="30" t="str">
        <f t="shared" si="295"/>
        <v>12,9358354609558-22,3381425514532i</v>
      </c>
      <c r="AQ287" s="32">
        <f t="shared" si="296"/>
        <v>28.2368835771064</v>
      </c>
      <c r="AR287" s="31">
        <f t="shared" si="297"/>
        <v>-59.9252191187168</v>
      </c>
      <c r="AS287" t="str">
        <f t="shared" si="273"/>
        <v>-0,000272527472527473</v>
      </c>
      <c r="AT287" t="str">
        <f t="shared" si="274"/>
        <v>0,00691485282040819i</v>
      </c>
      <c r="AU287">
        <f t="shared" si="298"/>
        <v>0.00691485282040819</v>
      </c>
      <c r="AV287">
        <f t="shared" si="299"/>
        <v>1.5707963267949</v>
      </c>
      <c r="AW287" t="str">
        <f t="shared" si="275"/>
        <v>1+0,354027781308276i</v>
      </c>
      <c r="AX287">
        <f t="shared" si="300"/>
        <v>1.0608183963045</v>
      </c>
      <c r="AY287">
        <f t="shared" si="301"/>
        <v>0.340258527207128</v>
      </c>
      <c r="AZ287" t="str">
        <f t="shared" si="276"/>
        <v>1+16,9255409489297i</v>
      </c>
      <c r="BA287">
        <f t="shared" si="302"/>
        <v>16.9550563671695</v>
      </c>
      <c r="BB287">
        <f t="shared" si="303"/>
        <v>1.51178262312701</v>
      </c>
      <c r="BC287" s="30" t="str">
        <f t="shared" si="304"/>
        <v>-0,580373305923973+0,244880171607653i</v>
      </c>
      <c r="BD287" s="32">
        <f t="shared" si="305"/>
        <v>-4.01428913670529</v>
      </c>
      <c r="BE287" s="31">
        <f t="shared" si="306"/>
        <v>157.123386294089</v>
      </c>
      <c r="BF287" s="30" t="str">
        <f t="shared" si="307"/>
        <v>0,782469841033186+1,35141126066061i</v>
      </c>
      <c r="BG287" s="68">
        <f t="shared" si="308"/>
        <v>3.87135484483435</v>
      </c>
      <c r="BH287" s="31">
        <f t="shared" si="309"/>
        <v>59.9290722808585</v>
      </c>
      <c r="BI287" s="30" t="str">
        <f t="shared" si="263"/>
        <v>-2,0374454099674+16,1321912483551i</v>
      </c>
      <c r="BJ287" s="68">
        <f t="shared" si="310"/>
        <v>24.2225944404011</v>
      </c>
      <c r="BK287" s="31">
        <f t="shared" si="264"/>
        <v>97.198167175372</v>
      </c>
      <c r="BL287" s="32">
        <f t="shared" si="311"/>
        <v>3.87135484483435</v>
      </c>
      <c r="BM287" s="31">
        <f t="shared" si="312"/>
        <v>59.9290722808585</v>
      </c>
      <c r="BO287">
        <f t="shared" si="313"/>
        <v>0</v>
      </c>
      <c r="BP287">
        <f t="shared" si="314"/>
        <v>0</v>
      </c>
    </row>
    <row r="288" spans="14:68">
      <c r="N288" s="7">
        <v>70</v>
      </c>
      <c r="O288" s="18">
        <f t="shared" si="315"/>
        <v>5011.87233627273</v>
      </c>
      <c r="P288" s="86" t="str">
        <f t="shared" si="265"/>
        <v>96,0576923076923</v>
      </c>
      <c r="Q288" s="4" t="str">
        <f t="shared" si="266"/>
        <v>1+42,0350030082243i</v>
      </c>
      <c r="R288" s="4">
        <f t="shared" si="277"/>
        <v>42.0468961744078</v>
      </c>
      <c r="S288" s="4">
        <f t="shared" si="278"/>
        <v>1.54701111583778</v>
      </c>
      <c r="T288" s="4" t="str">
        <f t="shared" si="267"/>
        <v>1+0,493771394755745i</v>
      </c>
      <c r="U288" s="4">
        <f t="shared" si="279"/>
        <v>1.11526238629259</v>
      </c>
      <c r="V288" s="4">
        <f t="shared" si="280"/>
        <v>0.458652320779918</v>
      </c>
      <c r="W288" t="str">
        <f t="shared" si="268"/>
        <v>1-0,234429446206313i</v>
      </c>
      <c r="X288" s="4">
        <f t="shared" si="281"/>
        <v>1.02711107736632</v>
      </c>
      <c r="Y288" s="4">
        <f t="shared" si="282"/>
        <v>-0.230271197775169</v>
      </c>
      <c r="Z288" t="str">
        <f t="shared" si="269"/>
        <v>0,999794948046407+0,401856669315566i</v>
      </c>
      <c r="AA288" s="4">
        <f t="shared" si="283"/>
        <v>1.07753362862257</v>
      </c>
      <c r="AB288" s="4">
        <f t="shared" si="284"/>
        <v>0.382176885906983</v>
      </c>
      <c r="AC288" s="67" t="str">
        <f t="shared" si="285"/>
        <v>-0,314859131037838-2,40813633752279i</v>
      </c>
      <c r="AD288" s="68">
        <f t="shared" si="286"/>
        <v>7.70723683875943</v>
      </c>
      <c r="AE288" s="31">
        <f t="shared" si="287"/>
        <v>-97.4490559186214</v>
      </c>
      <c r="AF288" s="32" t="str">
        <f t="shared" si="288"/>
        <v>236,914774604583</v>
      </c>
      <c r="AG288" s="32" t="str">
        <f t="shared" si="270"/>
        <v>1+10,3804213670242i</v>
      </c>
      <c r="AH288" s="32">
        <f t="shared" si="289"/>
        <v>10.42847772961</v>
      </c>
      <c r="AI288" s="32">
        <f t="shared" si="290"/>
        <v>1.47475748729453</v>
      </c>
      <c r="AJ288" s="32" t="str">
        <f t="shared" si="271"/>
        <v>1+0,493771394755745i</v>
      </c>
      <c r="AK288" s="32">
        <f t="shared" si="291"/>
        <v>1.11526238629259</v>
      </c>
      <c r="AL288" s="32">
        <f t="shared" si="292"/>
        <v>0.458652320779918</v>
      </c>
      <c r="AM288" s="32" t="str">
        <f t="shared" si="272"/>
        <v>1-0,0234716497452961i</v>
      </c>
      <c r="AN288" s="32">
        <f t="shared" si="293"/>
        <v>1.00027542124245</v>
      </c>
      <c r="AO288" s="32">
        <f t="shared" si="294"/>
        <v>-0.0234673408487311</v>
      </c>
      <c r="AP288" s="30" t="str">
        <f t="shared" si="295"/>
        <v>12,8387734226282-21,8509198768891i</v>
      </c>
      <c r="AQ288" s="32">
        <f t="shared" si="296"/>
        <v>28.0773575997801</v>
      </c>
      <c r="AR288" s="31">
        <f t="shared" si="297"/>
        <v>-59.5631171697522</v>
      </c>
      <c r="AS288" t="str">
        <f t="shared" si="273"/>
        <v>-0,000272527472527473</v>
      </c>
      <c r="AT288" t="str">
        <f t="shared" si="274"/>
        <v>0,00707592043377653i</v>
      </c>
      <c r="AU288">
        <f t="shared" si="298"/>
        <v>0.00707592043377653</v>
      </c>
      <c r="AV288">
        <f t="shared" si="299"/>
        <v>1.5707963267949</v>
      </c>
      <c r="AW288" t="str">
        <f t="shared" si="275"/>
        <v>1+0,362274147685463i</v>
      </c>
      <c r="AX288">
        <f t="shared" si="300"/>
        <v>1.06359887085368</v>
      </c>
      <c r="AY288">
        <f t="shared" si="301"/>
        <v>0.347567352530648</v>
      </c>
      <c r="AZ288" t="str">
        <f t="shared" si="276"/>
        <v>1+17,3197874436007i</v>
      </c>
      <c r="BA288">
        <f t="shared" si="302"/>
        <v>17.3486321389183</v>
      </c>
      <c r="BB288">
        <f t="shared" si="303"/>
        <v>1.51312292768465</v>
      </c>
      <c r="BC288" s="30" t="str">
        <f t="shared" si="304"/>
        <v>-0,577342832773113+0,247671156125131i</v>
      </c>
      <c r="BD288" s="32">
        <f t="shared" si="305"/>
        <v>-4.03770563098398</v>
      </c>
      <c r="BE288" s="31">
        <f t="shared" si="306"/>
        <v>156.781415244268</v>
      </c>
      <c r="BF288" s="30" t="str">
        <f t="shared" si="307"/>
        <v>0,778207573459074+1,31233872980858i</v>
      </c>
      <c r="BG288" s="68">
        <f t="shared" si="308"/>
        <v>3.66953120777544</v>
      </c>
      <c r="BH288" s="31">
        <f t="shared" si="309"/>
        <v>59.3323593256462</v>
      </c>
      <c r="BI288" s="30" t="str">
        <f t="shared" si="263"/>
        <v>-2,00053122884559+15,7952658372324i</v>
      </c>
      <c r="BJ288" s="68">
        <f t="shared" si="310"/>
        <v>24.0396519687962</v>
      </c>
      <c r="BK288" s="31">
        <f t="shared" si="264"/>
        <v>97.2182980745155</v>
      </c>
      <c r="BL288" s="32">
        <f t="shared" si="311"/>
        <v>3.66953120777544</v>
      </c>
      <c r="BM288" s="31">
        <f t="shared" si="312"/>
        <v>59.3323593256462</v>
      </c>
      <c r="BO288">
        <f t="shared" si="313"/>
        <v>0</v>
      </c>
      <c r="BP288">
        <f t="shared" si="314"/>
        <v>0</v>
      </c>
    </row>
    <row r="289" spans="14:68">
      <c r="N289" s="7">
        <v>71</v>
      </c>
      <c r="O289" s="18">
        <f t="shared" si="315"/>
        <v>5128.61383991365</v>
      </c>
      <c r="P289" s="86" t="str">
        <f t="shared" si="265"/>
        <v>96,0576923076923</v>
      </c>
      <c r="Q289" s="4" t="str">
        <f t="shared" si="266"/>
        <v>1+43,0141240088163i</v>
      </c>
      <c r="R289" s="4">
        <f t="shared" si="277"/>
        <v>43.0257465274669</v>
      </c>
      <c r="S289" s="4">
        <f t="shared" si="278"/>
        <v>1.54755233607827</v>
      </c>
      <c r="T289" s="4" t="str">
        <f t="shared" si="267"/>
        <v>1+0,505272808042247i</v>
      </c>
      <c r="U289" s="4">
        <f t="shared" si="279"/>
        <v>1.1204019861402</v>
      </c>
      <c r="V289" s="4">
        <f t="shared" si="280"/>
        <v>0.46785695249671</v>
      </c>
      <c r="W289" t="str">
        <f t="shared" si="268"/>
        <v>1-0,239890009487178i</v>
      </c>
      <c r="X289" s="4">
        <f t="shared" si="281"/>
        <v>1.02837114732559</v>
      </c>
      <c r="Y289" s="4">
        <f t="shared" si="282"/>
        <v>-0.235440978018651</v>
      </c>
      <c r="Z289" t="str">
        <f t="shared" si="269"/>
        <v>0,99978528424556+0,411217113611903i</v>
      </c>
      <c r="AA289" s="4">
        <f t="shared" si="283"/>
        <v>1.08105047482589</v>
      </c>
      <c r="AB289" s="4">
        <f t="shared" si="284"/>
        <v>0.390214283490375</v>
      </c>
      <c r="AC289" s="67" t="str">
        <f t="shared" si="285"/>
        <v>-0,319203680835377-2,35796944988836i</v>
      </c>
      <c r="AD289" s="68">
        <f t="shared" si="286"/>
        <v>7.5296303196802</v>
      </c>
      <c r="AE289" s="31">
        <f t="shared" si="287"/>
        <v>-97.7093945536029</v>
      </c>
      <c r="AF289" s="32" t="str">
        <f t="shared" si="288"/>
        <v>236,914774604583</v>
      </c>
      <c r="AG289" s="32" t="str">
        <f t="shared" si="270"/>
        <v>1+10,6222124417972i</v>
      </c>
      <c r="AH289" s="32">
        <f t="shared" si="289"/>
        <v>10.669179779096</v>
      </c>
      <c r="AI289" s="32">
        <f t="shared" si="290"/>
        <v>1.47693063205117</v>
      </c>
      <c r="AJ289" s="32" t="str">
        <f t="shared" si="271"/>
        <v>1+0,505272808042247i</v>
      </c>
      <c r="AK289" s="32">
        <f t="shared" si="291"/>
        <v>1.1204019861402</v>
      </c>
      <c r="AL289" s="32">
        <f t="shared" si="292"/>
        <v>0.46785695249671</v>
      </c>
      <c r="AM289" s="32" t="str">
        <f t="shared" si="272"/>
        <v>1-0,0240183747016299i</v>
      </c>
      <c r="AN289" s="32">
        <f t="shared" si="293"/>
        <v>1.0002883995745</v>
      </c>
      <c r="AO289" s="32">
        <f t="shared" si="294"/>
        <v>-0.0240137577076686</v>
      </c>
      <c r="AP289" s="30" t="str">
        <f t="shared" si="295"/>
        <v>12,7460013329206-21,3744483393643i</v>
      </c>
      <c r="AQ289" s="32">
        <f t="shared" si="296"/>
        <v>27.919204287834</v>
      </c>
      <c r="AR289" s="31">
        <f t="shared" si="297"/>
        <v>-59.1915500231063</v>
      </c>
      <c r="AS289" t="str">
        <f t="shared" si="273"/>
        <v>-0,000272527472527473</v>
      </c>
      <c r="AT289" t="str">
        <f t="shared" si="274"/>
        <v>0,00724073979381971i</v>
      </c>
      <c r="AU289">
        <f t="shared" si="298"/>
        <v>0.00724073979381971</v>
      </c>
      <c r="AV289">
        <f t="shared" si="299"/>
        <v>1.5707963267949</v>
      </c>
      <c r="AW289" t="str">
        <f t="shared" si="275"/>
        <v>1+0,370712596611017i</v>
      </c>
      <c r="AX289">
        <f t="shared" si="300"/>
        <v>1.06650261569585</v>
      </c>
      <c r="AY289">
        <f t="shared" si="301"/>
        <v>0.355006562888395</v>
      </c>
      <c r="AZ289" t="str">
        <f t="shared" si="276"/>
        <v>1+17,7232171188288i</v>
      </c>
      <c r="BA289">
        <f t="shared" si="302"/>
        <v>17.7514062834792</v>
      </c>
      <c r="BB289">
        <f t="shared" si="303"/>
        <v>1.51443292366342</v>
      </c>
      <c r="BC289" s="30" t="str">
        <f t="shared" si="304"/>
        <v>-0,574203273579173+0,250502456712816i</v>
      </c>
      <c r="BD289" s="32">
        <f t="shared" si="305"/>
        <v>-4.06203626451029</v>
      </c>
      <c r="BE289" s="31">
        <f t="shared" si="306"/>
        <v>156.430237128621</v>
      </c>
      <c r="BF289" s="30" t="str">
        <f t="shared" si="307"/>
        <v>0,773964938524996+1,27399247088454i</v>
      </c>
      <c r="BG289" s="68">
        <f t="shared" si="308"/>
        <v>3.46759405516989</v>
      </c>
      <c r="BH289" s="31">
        <f t="shared" si="309"/>
        <v>58.7208425750183</v>
      </c>
      <c r="BI289" s="30" t="str">
        <f t="shared" si="263"/>
        <v>-1,96444387051558+15,4661828545733i</v>
      </c>
      <c r="BJ289" s="68">
        <f t="shared" si="310"/>
        <v>23.8571680233237</v>
      </c>
      <c r="BK289" s="31">
        <f t="shared" si="264"/>
        <v>97.2386871055149</v>
      </c>
      <c r="BL289" s="32">
        <f t="shared" si="311"/>
        <v>3.46759405516989</v>
      </c>
      <c r="BM289" s="31">
        <f t="shared" si="312"/>
        <v>58.7208425750183</v>
      </c>
      <c r="BO289">
        <f t="shared" si="313"/>
        <v>0</v>
      </c>
      <c r="BP289">
        <f t="shared" si="314"/>
        <v>0</v>
      </c>
    </row>
    <row r="290" spans="14:68">
      <c r="N290" s="7">
        <v>72</v>
      </c>
      <c r="O290" s="18">
        <f t="shared" si="315"/>
        <v>5248.07460249773</v>
      </c>
      <c r="P290" s="86" t="str">
        <f t="shared" si="265"/>
        <v>96,0576923076923</v>
      </c>
      <c r="Q290" s="4" t="str">
        <f t="shared" si="266"/>
        <v>1+44,0160516673171i</v>
      </c>
      <c r="R290" s="4">
        <f t="shared" si="277"/>
        <v>44.0274096941886</v>
      </c>
      <c r="S290" s="4">
        <f t="shared" si="278"/>
        <v>1.54808124980284</v>
      </c>
      <c r="T290" s="4" t="str">
        <f t="shared" si="267"/>
        <v>1+0,517042123659651i</v>
      </c>
      <c r="U290" s="4">
        <f t="shared" si="279"/>
        <v>1.1257586587002</v>
      </c>
      <c r="V290" s="4">
        <f t="shared" si="280"/>
        <v>0.477188170715733</v>
      </c>
      <c r="W290" t="str">
        <f t="shared" si="268"/>
        <v>1-0,245477765626394i</v>
      </c>
      <c r="X290" s="4">
        <f t="shared" si="281"/>
        <v>1.02968894983724</v>
      </c>
      <c r="Y290" s="4">
        <f t="shared" si="282"/>
        <v>-0.240717934645439</v>
      </c>
      <c r="Z290" t="str">
        <f t="shared" si="269"/>
        <v>0,999775165003809+0,42079559066498i</v>
      </c>
      <c r="AA290" s="4">
        <f t="shared" si="283"/>
        <v>1.08472084412603</v>
      </c>
      <c r="AB290" s="4">
        <f t="shared" si="284"/>
        <v>0.39838448463587</v>
      </c>
      <c r="AC290" s="67" t="str">
        <f t="shared" si="285"/>
        <v>-0,323500986056415-2,30898538555675i</v>
      </c>
      <c r="AD290" s="68">
        <f t="shared" si="286"/>
        <v>7.35284752771706</v>
      </c>
      <c r="AE290" s="31">
        <f t="shared" si="287"/>
        <v>-97.9755250428803</v>
      </c>
      <c r="AF290" s="32" t="str">
        <f t="shared" si="288"/>
        <v>236,914774604583</v>
      </c>
      <c r="AG290" s="32" t="str">
        <f t="shared" si="270"/>
        <v>1+10,8696355542086i</v>
      </c>
      <c r="AH290" s="32">
        <f t="shared" si="289"/>
        <v>10.9155383321811</v>
      </c>
      <c r="AI290" s="32">
        <f t="shared" si="290"/>
        <v>1.4790551695461</v>
      </c>
      <c r="AJ290" s="32" t="str">
        <f t="shared" si="271"/>
        <v>1+0,517042123659651i</v>
      </c>
      <c r="AK290" s="32">
        <f t="shared" si="291"/>
        <v>1.1257586587002</v>
      </c>
      <c r="AL290" s="32">
        <f t="shared" si="292"/>
        <v>0.477188170715733</v>
      </c>
      <c r="AM290" s="32" t="str">
        <f t="shared" si="272"/>
        <v>1-0,0245778345181513i</v>
      </c>
      <c r="AN290" s="32">
        <f t="shared" si="293"/>
        <v>1.00030198937601</v>
      </c>
      <c r="AO290" s="32">
        <f t="shared" si="294"/>
        <v>-0.024572887400651</v>
      </c>
      <c r="AP290" s="30" t="str">
        <f t="shared" si="295"/>
        <v>12,6573329359151-20,9085300389128i</v>
      </c>
      <c r="AQ290" s="32">
        <f t="shared" si="296"/>
        <v>27.7624682938134</v>
      </c>
      <c r="AR290" s="31">
        <f t="shared" si="297"/>
        <v>-58.8106734049254</v>
      </c>
      <c r="AS290" t="str">
        <f t="shared" si="273"/>
        <v>-0,000272527472527473</v>
      </c>
      <c r="AT290" t="str">
        <f t="shared" si="274"/>
        <v>0,0074093982899441i</v>
      </c>
      <c r="AU290">
        <f t="shared" si="298"/>
        <v>0.0074093982899441</v>
      </c>
      <c r="AV290">
        <f t="shared" si="299"/>
        <v>1.5707963267949</v>
      </c>
      <c r="AW290" t="str">
        <f t="shared" si="275"/>
        <v>1+0,379347602262256i</v>
      </c>
      <c r="AX290">
        <f t="shared" si="300"/>
        <v>1.06953476023088</v>
      </c>
      <c r="AY290">
        <f t="shared" si="301"/>
        <v>0.362576808070576</v>
      </c>
      <c r="AZ290" t="str">
        <f t="shared" si="276"/>
        <v>1+18,1360438783678i</v>
      </c>
      <c r="BA290">
        <f t="shared" si="302"/>
        <v>18.1635923637942</v>
      </c>
      <c r="BB290">
        <f t="shared" si="303"/>
        <v>1.51571328764578</v>
      </c>
      <c r="BC290" s="30" t="str">
        <f t="shared" si="304"/>
        <v>-0,57095214157538+0,253370649019659i</v>
      </c>
      <c r="BD290" s="32">
        <f t="shared" si="305"/>
        <v>-4.087316188655</v>
      </c>
      <c r="BE290" s="31">
        <f t="shared" si="306"/>
        <v>156.069853482233</v>
      </c>
      <c r="BF290" s="30" t="str">
        <f t="shared" si="307"/>
        <v>0,769732706506079+1,23635449595427i</v>
      </c>
      <c r="BG290" s="68">
        <f t="shared" si="308"/>
        <v>3.26553133906208</v>
      </c>
      <c r="BH290" s="31">
        <f t="shared" si="309"/>
        <v>58.0943284393528</v>
      </c>
      <c r="BI290" s="30" t="str">
        <f t="shared" si="263"/>
        <v>-1,92912352038695+15,1447666637411i</v>
      </c>
      <c r="BJ290" s="68">
        <f t="shared" si="310"/>
        <v>23.6751521051584</v>
      </c>
      <c r="BK290" s="31">
        <f t="shared" si="264"/>
        <v>97.2591800773077</v>
      </c>
      <c r="BL290" s="32">
        <f t="shared" si="311"/>
        <v>3.26553133906208</v>
      </c>
      <c r="BM290" s="31">
        <f t="shared" si="312"/>
        <v>58.0943284393528</v>
      </c>
      <c r="BO290">
        <f t="shared" si="313"/>
        <v>0</v>
      </c>
      <c r="BP290">
        <f t="shared" si="314"/>
        <v>0</v>
      </c>
    </row>
    <row r="291" spans="14:68">
      <c r="N291" s="7">
        <v>73</v>
      </c>
      <c r="O291" s="18">
        <f t="shared" si="315"/>
        <v>5370.31796370253</v>
      </c>
      <c r="P291" s="86" t="str">
        <f t="shared" si="265"/>
        <v>96,0576923076923</v>
      </c>
      <c r="Q291" s="4" t="str">
        <f t="shared" si="266"/>
        <v>1+45,0413172190331i</v>
      </c>
      <c r="R291" s="4">
        <f t="shared" si="277"/>
        <v>45.0524167700865</v>
      </c>
      <c r="S291" s="4">
        <f t="shared" si="278"/>
        <v>1.54859813626417</v>
      </c>
      <c r="T291" s="4" t="str">
        <f t="shared" si="267"/>
        <v>1+0,529085581854879i</v>
      </c>
      <c r="U291" s="4">
        <f t="shared" si="279"/>
        <v>1.13134059987553</v>
      </c>
      <c r="V291" s="4">
        <f t="shared" si="280"/>
        <v>0.486644422193911</v>
      </c>
      <c r="W291" t="str">
        <f t="shared" si="268"/>
        <v>1-0,251195677326225i</v>
      </c>
      <c r="X291" s="4">
        <f t="shared" si="281"/>
        <v>1.03106705325472</v>
      </c>
      <c r="Y291" s="4">
        <f t="shared" si="282"/>
        <v>-0.246103689507703</v>
      </c>
      <c r="Z291" t="str">
        <f t="shared" si="269"/>
        <v>0,999764568856888+0,430597179110114i</v>
      </c>
      <c r="AA291" s="4">
        <f t="shared" si="283"/>
        <v>1.08855092843614</v>
      </c>
      <c r="AB291" s="4">
        <f t="shared" si="284"/>
        <v>0.406687476693198</v>
      </c>
      <c r="AC291" s="67" t="str">
        <f t="shared" si="285"/>
        <v>-0,327757021251157-2,26115540476428i</v>
      </c>
      <c r="AD291" s="68">
        <f t="shared" si="286"/>
        <v>7.17691171389708</v>
      </c>
      <c r="AE291" s="31">
        <f t="shared" si="287"/>
        <v>-98.2476445812031</v>
      </c>
      <c r="AF291" s="32" t="str">
        <f t="shared" si="288"/>
        <v>236,914774604583</v>
      </c>
      <c r="AG291" s="32" t="str">
        <f t="shared" si="270"/>
        <v>1+11,1228218912673i</v>
      </c>
      <c r="AH291" s="32">
        <f t="shared" si="289"/>
        <v>11.1676840403396</v>
      </c>
      <c r="AI291" s="32">
        <f t="shared" si="290"/>
        <v>1.48113214947934</v>
      </c>
      <c r="AJ291" s="32" t="str">
        <f t="shared" si="271"/>
        <v>1+0,529085581854879i</v>
      </c>
      <c r="AK291" s="32">
        <f t="shared" si="291"/>
        <v>1.13134059987553</v>
      </c>
      <c r="AL291" s="32">
        <f t="shared" si="292"/>
        <v>0.486644422193911</v>
      </c>
      <c r="AM291" s="32" t="str">
        <f t="shared" si="272"/>
        <v>1-0,0251503258278602i</v>
      </c>
      <c r="AN291" s="32">
        <f t="shared" si="293"/>
        <v>1.00031621944725</v>
      </c>
      <c r="AO291" s="32">
        <f t="shared" si="294"/>
        <v>-0.0251450249864534</v>
      </c>
      <c r="AP291" s="30" t="str">
        <f t="shared" si="295"/>
        <v>12,572589769561-20,4529691218523i</v>
      </c>
      <c r="AQ291" s="32">
        <f t="shared" si="296"/>
        <v>27.6071942077606</v>
      </c>
      <c r="AR291" s="31">
        <f t="shared" si="297"/>
        <v>-58.4206533584872</v>
      </c>
      <c r="AS291" t="str">
        <f t="shared" si="273"/>
        <v>-0,000272527472527473</v>
      </c>
      <c r="AT291" t="str">
        <f t="shared" si="274"/>
        <v>0,0075819853471168i</v>
      </c>
      <c r="AU291">
        <f t="shared" si="298"/>
        <v>0.0075819853471168</v>
      </c>
      <c r="AV291">
        <f t="shared" si="299"/>
        <v>1.5707963267949</v>
      </c>
      <c r="AW291" t="str">
        <f t="shared" si="275"/>
        <v>1+0,388183743033473i</v>
      </c>
      <c r="AX291">
        <f t="shared" si="300"/>
        <v>1.0727006191643</v>
      </c>
      <c r="AY291">
        <f t="shared" si="301"/>
        <v>0.370278630200616</v>
      </c>
      <c r="AZ291" t="str">
        <f t="shared" si="276"/>
        <v>1+18,55848660843i</v>
      </c>
      <c r="BA291">
        <f t="shared" si="302"/>
        <v>18.585408932689</v>
      </c>
      <c r="BB291">
        <f t="shared" si="303"/>
        <v>1.51696468169664</v>
      </c>
      <c r="BC291" s="30" t="str">
        <f t="shared" si="304"/>
        <v>-0,567587015107144+0,2562721299972i</v>
      </c>
      <c r="BD291" s="32">
        <f t="shared" si="305"/>
        <v>-4.11358124599703</v>
      </c>
      <c r="BE291" s="31">
        <f t="shared" si="306"/>
        <v>155.700271177243</v>
      </c>
      <c r="BF291" s="30" t="str">
        <f t="shared" si="307"/>
        <v>0,765501741205976+1,19940745692597i</v>
      </c>
      <c r="BG291" s="68">
        <f t="shared" si="308"/>
        <v>3.06333046790004</v>
      </c>
      <c r="BH291" s="31">
        <f t="shared" si="309"/>
        <v>57.4526265960399</v>
      </c>
      <c r="BI291" s="30" t="str">
        <f t="shared" si="263"/>
        <v>-1,89451273784769+14,8308440537771i</v>
      </c>
      <c r="BJ291" s="68">
        <f t="shared" si="310"/>
        <v>23.4936129617636</v>
      </c>
      <c r="BK291" s="31">
        <f t="shared" si="264"/>
        <v>97.2796178187558</v>
      </c>
      <c r="BL291" s="32">
        <f t="shared" si="311"/>
        <v>3.06333046790004</v>
      </c>
      <c r="BM291" s="31">
        <f t="shared" si="312"/>
        <v>57.4526265960399</v>
      </c>
      <c r="BO291">
        <f t="shared" si="313"/>
        <v>0</v>
      </c>
      <c r="BP291">
        <f t="shared" si="314"/>
        <v>0</v>
      </c>
    </row>
    <row r="292" spans="14:68">
      <c r="N292" s="7">
        <v>74</v>
      </c>
      <c r="O292" s="18">
        <f t="shared" si="315"/>
        <v>5495.40873857625</v>
      </c>
      <c r="P292" s="86" t="str">
        <f t="shared" si="265"/>
        <v>96,0576923076923</v>
      </c>
      <c r="Q292" s="4" t="str">
        <f t="shared" si="266"/>
        <v>1+46,0904642733311i</v>
      </c>
      <c r="R292" s="4">
        <f t="shared" si="277"/>
        <v>46.1013112278947</v>
      </c>
      <c r="S292" s="4">
        <f t="shared" si="278"/>
        <v>1.54910326841688</v>
      </c>
      <c r="T292" s="4" t="str">
        <f t="shared" si="267"/>
        <v>1+0,541409568228884i</v>
      </c>
      <c r="U292" s="4">
        <f t="shared" si="279"/>
        <v>1.13715624281353</v>
      </c>
      <c r="V292" s="4">
        <f t="shared" si="280"/>
        <v>0.496223955224008</v>
      </c>
      <c r="W292" t="str">
        <f t="shared" si="268"/>
        <v>1-0,257046776299144i</v>
      </c>
      <c r="X292" s="4">
        <f t="shared" si="281"/>
        <v>1.03250813323953</v>
      </c>
      <c r="Y292" s="4">
        <f t="shared" si="282"/>
        <v>-0.251599847898408</v>
      </c>
      <c r="Z292" t="str">
        <f t="shared" si="269"/>
        <v>0,999753473328947+0,440627075879241i</v>
      </c>
      <c r="AA292" s="4">
        <f t="shared" si="283"/>
        <v>1.09254712824261</v>
      </c>
      <c r="AB292" s="4">
        <f t="shared" si="284"/>
        <v>0.415123102309728</v>
      </c>
      <c r="AC292" s="67" t="str">
        <f t="shared" si="285"/>
        <v>-0,33197746685345-2,21445125726657i</v>
      </c>
      <c r="AD292" s="68">
        <f t="shared" si="286"/>
        <v>7.00184624923976</v>
      </c>
      <c r="AE292" s="31">
        <f t="shared" si="287"/>
        <v>-98.5259521340214</v>
      </c>
      <c r="AF292" s="32" t="str">
        <f t="shared" si="288"/>
        <v>236,914774604583</v>
      </c>
      <c r="AG292" s="32" t="str">
        <f t="shared" si="270"/>
        <v>1+11,3819056957208i</v>
      </c>
      <c r="AH292" s="32">
        <f t="shared" si="289"/>
        <v>11.4257506215689</v>
      </c>
      <c r="AI292" s="32">
        <f t="shared" si="290"/>
        <v>1.48316260137537</v>
      </c>
      <c r="AJ292" s="32" t="str">
        <f t="shared" si="271"/>
        <v>1+0,541409568228884i</v>
      </c>
      <c r="AK292" s="32">
        <f t="shared" si="291"/>
        <v>1.13715624281353</v>
      </c>
      <c r="AL292" s="32">
        <f t="shared" si="292"/>
        <v>0.496223955224008</v>
      </c>
      <c r="AM292" s="32" t="str">
        <f t="shared" si="272"/>
        <v>1-0,025736152173227i</v>
      </c>
      <c r="AN292" s="32">
        <f t="shared" si="293"/>
        <v>1.00033111994413</v>
      </c>
      <c r="AO292" s="32">
        <f t="shared" si="294"/>
        <v>-0.025730472320864</v>
      </c>
      <c r="AP292" s="30" t="str">
        <f t="shared" si="295"/>
        <v>12,4916008652744-20,0075719027368i</v>
      </c>
      <c r="AQ292" s="32">
        <f t="shared" si="296"/>
        <v>27.4534264805336</v>
      </c>
      <c r="AR292" s="31">
        <f t="shared" si="297"/>
        <v>-58.0216665316922</v>
      </c>
      <c r="AS292" t="str">
        <f t="shared" si="273"/>
        <v>-0,000272527472527473</v>
      </c>
      <c r="AT292" t="str">
        <f t="shared" si="274"/>
        <v>0,00775859247327998i</v>
      </c>
      <c r="AU292">
        <f t="shared" si="298"/>
        <v>0.00775859247327998</v>
      </c>
      <c r="AV292">
        <f t="shared" si="299"/>
        <v>1.5707963267949</v>
      </c>
      <c r="AW292" t="str">
        <f t="shared" si="275"/>
        <v>1+0,397225703963466i</v>
      </c>
      <c r="AX292">
        <f t="shared" si="300"/>
        <v>1.07600569695949</v>
      </c>
      <c r="AY292">
        <f t="shared" si="301"/>
        <v>0.378112457014043</v>
      </c>
      <c r="AZ292" t="str">
        <f t="shared" si="276"/>
        <v>1+18,9907692937427i</v>
      </c>
      <c r="BA292">
        <f t="shared" si="302"/>
        <v>19.0170796487831</v>
      </c>
      <c r="BB292">
        <f t="shared" si="303"/>
        <v>1.51818775363545</v>
      </c>
      <c r="BC292" s="30" t="str">
        <f t="shared" si="304"/>
        <v>-0,564105549920313+0,259203115047599i</v>
      </c>
      <c r="BD292" s="32">
        <f t="shared" si="305"/>
        <v>-4.14086795118202</v>
      </c>
      <c r="BE292" s="31">
        <f t="shared" si="306"/>
        <v>155.321502823532</v>
      </c>
      <c r="BF292" s="30" t="str">
        <f t="shared" si="307"/>
        <v>0,761262995505085+1,16313465071806i</v>
      </c>
      <c r="BG292" s="68">
        <f t="shared" si="308"/>
        <v>2.86097829805773</v>
      </c>
      <c r="BH292" s="31">
        <f t="shared" si="309"/>
        <v>56.7955506895107</v>
      </c>
      <c r="BI292" s="30" t="str">
        <f t="shared" si="263"/>
        <v>-1,86055641376248+14,524244206974i</v>
      </c>
      <c r="BJ292" s="68">
        <f t="shared" si="310"/>
        <v>23.3125585293516</v>
      </c>
      <c r="BK292" s="31">
        <f t="shared" si="264"/>
        <v>97.29983629184</v>
      </c>
      <c r="BL292" s="32">
        <f t="shared" si="311"/>
        <v>2.86097829805773</v>
      </c>
      <c r="BM292" s="31">
        <f t="shared" si="312"/>
        <v>56.7955506895107</v>
      </c>
      <c r="BO292">
        <f t="shared" si="313"/>
        <v>0</v>
      </c>
      <c r="BP292">
        <f t="shared" si="314"/>
        <v>0</v>
      </c>
    </row>
    <row r="293" spans="14:68">
      <c r="N293" s="7">
        <v>75</v>
      </c>
      <c r="O293" s="18">
        <f t="shared" si="315"/>
        <v>5623.4132519035</v>
      </c>
      <c r="P293" s="86" t="str">
        <f t="shared" si="265"/>
        <v>96,0576923076923</v>
      </c>
      <c r="Q293" s="4" t="str">
        <f t="shared" si="266"/>
        <v>1+47,1640491018662i</v>
      </c>
      <c r="R293" s="4">
        <f t="shared" si="277"/>
        <v>47.1746492057254</v>
      </c>
      <c r="S293" s="4">
        <f t="shared" si="278"/>
        <v>1.54959691305702</v>
      </c>
      <c r="T293" s="4" t="str">
        <f t="shared" si="267"/>
        <v>1+0,554020617122365i</v>
      </c>
      <c r="U293" s="4">
        <f t="shared" si="279"/>
        <v>1.14321425996908</v>
      </c>
      <c r="V293" s="4">
        <f t="shared" si="280"/>
        <v>0.505924815474331</v>
      </c>
      <c r="W293" t="str">
        <f t="shared" si="268"/>
        <v>1-0,263034164875273i</v>
      </c>
      <c r="X293" s="4">
        <f t="shared" si="281"/>
        <v>1.0340149766283</v>
      </c>
      <c r="Y293" s="4">
        <f t="shared" si="282"/>
        <v>-0.257207995178248</v>
      </c>
      <c r="Z293" t="str">
        <f t="shared" si="269"/>
        <v>0,999741854884884+0,450890598956387i</v>
      </c>
      <c r="AA293" s="4">
        <f t="shared" si="283"/>
        <v>1.09671605652325</v>
      </c>
      <c r="AB293" s="4">
        <f t="shared" si="284"/>
        <v>0.423691052642992</v>
      </c>
      <c r="AC293" s="67" t="str">
        <f t="shared" si="285"/>
        <v>-0,336167711176552-2,16884517121914i</v>
      </c>
      <c r="AD293" s="68">
        <f t="shared" si="286"/>
        <v>6.8276745965455</v>
      </c>
      <c r="AE293" s="31">
        <f t="shared" si="287"/>
        <v>-98.8106481016875</v>
      </c>
      <c r="AF293" s="32" t="str">
        <f t="shared" si="288"/>
        <v>236,914774604583</v>
      </c>
      <c r="AG293" s="32" t="str">
        <f t="shared" si="270"/>
        <v>1+11,6470243372315i</v>
      </c>
      <c r="AH293" s="32">
        <f t="shared" si="289"/>
        <v>11.6898749314123</v>
      </c>
      <c r="AI293" s="32">
        <f t="shared" si="290"/>
        <v>1.48514753480143</v>
      </c>
      <c r="AJ293" s="32" t="str">
        <f t="shared" si="271"/>
        <v>1+0,554020617122365i</v>
      </c>
      <c r="AK293" s="32">
        <f t="shared" si="291"/>
        <v>1.14321425996908</v>
      </c>
      <c r="AL293" s="32">
        <f t="shared" si="292"/>
        <v>0.505924815474331</v>
      </c>
      <c r="AM293" s="32" t="str">
        <f t="shared" si="272"/>
        <v>1-0,0263356241671343i</v>
      </c>
      <c r="AN293" s="32">
        <f t="shared" si="293"/>
        <v>1.00034672244191</v>
      </c>
      <c r="AO293" s="32">
        <f t="shared" si="294"/>
        <v>-0.0263295382095995</v>
      </c>
      <c r="AP293" s="30" t="str">
        <f t="shared" si="295"/>
        <v>12,4142024568092-19,5721469735668i</v>
      </c>
      <c r="AQ293" s="32">
        <f t="shared" si="296"/>
        <v>27.3012093422889</v>
      </c>
      <c r="AR293" s="31">
        <f t="shared" si="297"/>
        <v>-57.6139004367053</v>
      </c>
      <c r="AS293" t="str">
        <f t="shared" si="273"/>
        <v>-0,000272527472527473</v>
      </c>
      <c r="AT293" t="str">
        <f t="shared" si="274"/>
        <v>0,00793931330786962i</v>
      </c>
      <c r="AU293">
        <f t="shared" si="298"/>
        <v>0.00793931330786962</v>
      </c>
      <c r="AV293">
        <f t="shared" si="299"/>
        <v>1.5707963267949</v>
      </c>
      <c r="AW293" t="str">
        <f t="shared" si="275"/>
        <v>1+0,406478279219604i</v>
      </c>
      <c r="AX293">
        <f t="shared" si="300"/>
        <v>1.07945569222517</v>
      </c>
      <c r="AY293">
        <f t="shared" si="301"/>
        <v>0.386078595057729</v>
      </c>
      <c r="AZ293" t="str">
        <f t="shared" si="276"/>
        <v>1+19,4331211363074i</v>
      </c>
      <c r="BA293">
        <f t="shared" si="302"/>
        <v>19.4588333951036</v>
      </c>
      <c r="BB293">
        <f t="shared" si="303"/>
        <v>1.51938313730606</v>
      </c>
      <c r="BC293" s="30" t="str">
        <f t="shared" si="304"/>
        <v>-0,560505492085493+0,26215963589423i</v>
      </c>
      <c r="BD293" s="32">
        <f t="shared" si="305"/>
        <v>-4.16921346780587</v>
      </c>
      <c r="BE293" s="31">
        <f t="shared" si="306"/>
        <v>154.933567173835</v>
      </c>
      <c r="BF293" s="30" t="str">
        <f t="shared" si="307"/>
        <v>0,757007508774036+1,12752002518999i</v>
      </c>
      <c r="BG293" s="68">
        <f t="shared" si="308"/>
        <v>2.65846112873964</v>
      </c>
      <c r="BH293" s="31">
        <f t="shared" si="309"/>
        <v>56.1229190721478</v>
      </c>
      <c r="BI293" s="30" t="str">
        <f t="shared" si="263"/>
        <v>-1,82720173264415+14,224798666583i</v>
      </c>
      <c r="BJ293" s="68">
        <f t="shared" si="310"/>
        <v>23.131995874483</v>
      </c>
      <c r="BK293" s="31">
        <f t="shared" si="264"/>
        <v>97.3196667371299</v>
      </c>
      <c r="BL293" s="32">
        <f t="shared" si="311"/>
        <v>2.65846112873964</v>
      </c>
      <c r="BM293" s="31">
        <f t="shared" si="312"/>
        <v>56.1229190721478</v>
      </c>
      <c r="BO293">
        <f t="shared" si="313"/>
        <v>0</v>
      </c>
      <c r="BP293">
        <f t="shared" si="314"/>
        <v>0</v>
      </c>
    </row>
    <row r="294" spans="14:68">
      <c r="N294" s="7">
        <v>76</v>
      </c>
      <c r="O294" s="18">
        <f t="shared" si="315"/>
        <v>5754.39937337157</v>
      </c>
      <c r="P294" s="86" t="str">
        <f t="shared" si="265"/>
        <v>96,0576923076923</v>
      </c>
      <c r="Q294" s="4" t="str">
        <f t="shared" si="266"/>
        <v>1+48,2626409335251i</v>
      </c>
      <c r="R294" s="4">
        <f t="shared" si="277"/>
        <v>48.2729998019428</v>
      </c>
      <c r="S294" s="4">
        <f t="shared" si="278"/>
        <v>1.55007933095862</v>
      </c>
      <c r="T294" s="4" t="str">
        <f t="shared" si="267"/>
        <v>1+0,566925415080376i</v>
      </c>
      <c r="U294" s="4">
        <f t="shared" si="279"/>
        <v>1.14952356490159</v>
      </c>
      <c r="V294" s="4">
        <f t="shared" si="280"/>
        <v>0.515744842384676</v>
      </c>
      <c r="W294" t="str">
        <f t="shared" si="268"/>
        <v>1-0,269161017647288i</v>
      </c>
      <c r="X294" s="4">
        <f t="shared" si="281"/>
        <v>1.03559048538547</v>
      </c>
      <c r="Y294" s="4">
        <f t="shared" si="282"/>
        <v>-0.262929693203655</v>
      </c>
      <c r="Z294" t="str">
        <f t="shared" si="269"/>
        <v>0,999729688880422+0,461393190197343i</v>
      </c>
      <c r="AA294" s="4">
        <f t="shared" si="283"/>
        <v>1.10106454251757</v>
      </c>
      <c r="AB294" s="4">
        <f t="shared" si="284"/>
        <v>0.432390860674425</v>
      </c>
      <c r="AC294" s="67" t="str">
        <f t="shared" si="285"/>
        <v>-0,340332851779159-2,12430984286642i</v>
      </c>
      <c r="AD294" s="68">
        <f t="shared" si="286"/>
        <v>6.65442028181155</v>
      </c>
      <c r="AE294" s="31">
        <f t="shared" si="287"/>
        <v>-99.1019339460223</v>
      </c>
      <c r="AF294" s="32" t="str">
        <f t="shared" si="288"/>
        <v>236,914774604583</v>
      </c>
      <c r="AG294" s="32" t="str">
        <f t="shared" si="270"/>
        <v>1+11,9183183852124i</v>
      </c>
      <c r="AH294" s="32">
        <f t="shared" si="289"/>
        <v>11.9601970356383</v>
      </c>
      <c r="AI294" s="32">
        <f t="shared" si="290"/>
        <v>1.48708793959633</v>
      </c>
      <c r="AJ294" s="32" t="str">
        <f t="shared" si="271"/>
        <v>1+0,566925415080376i</v>
      </c>
      <c r="AK294" s="32">
        <f t="shared" si="291"/>
        <v>1.14952356490159</v>
      </c>
      <c r="AL294" s="32">
        <f t="shared" si="292"/>
        <v>0.515744842384676</v>
      </c>
      <c r="AM294" s="32" t="str">
        <f t="shared" si="272"/>
        <v>1-0,0269490596575682i</v>
      </c>
      <c r="AN294" s="32">
        <f t="shared" si="293"/>
        <v>1.00036306000193</v>
      </c>
      <c r="AO294" s="32">
        <f t="shared" si="294"/>
        <v>-0.0269425385643968</v>
      </c>
      <c r="AP294" s="30" t="str">
        <f t="shared" si="295"/>
        <v>12,3402376983313-19,1465053011139i</v>
      </c>
      <c r="AQ294" s="32">
        <f t="shared" si="296"/>
        <v>27.1505867163429</v>
      </c>
      <c r="AR294" s="31">
        <f t="shared" si="297"/>
        <v>-57.1975536785016</v>
      </c>
      <c r="AS294" t="str">
        <f t="shared" si="273"/>
        <v>-0,000272527472527473</v>
      </c>
      <c r="AT294" t="str">
        <f t="shared" si="274"/>
        <v>0,0081242436714643i</v>
      </c>
      <c r="AU294">
        <f t="shared" si="298"/>
        <v>0.0081242436714643</v>
      </c>
      <c r="AV294">
        <f t="shared" si="299"/>
        <v>1.5707963267949</v>
      </c>
      <c r="AW294" t="str">
        <f t="shared" si="275"/>
        <v>1+0,415946374639761i</v>
      </c>
      <c r="AX294">
        <f t="shared" si="300"/>
        <v>1.08305650202377</v>
      </c>
      <c r="AY294">
        <f t="shared" si="301"/>
        <v>0.394177222836179</v>
      </c>
      <c r="AZ294" t="str">
        <f t="shared" si="276"/>
        <v>1+19,8857766769264i</v>
      </c>
      <c r="BA294">
        <f t="shared" si="302"/>
        <v>19.9109044004684</v>
      </c>
      <c r="BB294">
        <f t="shared" si="303"/>
        <v>1.52055145284389</v>
      </c>
      <c r="BC294" s="30" t="str">
        <f t="shared" si="304"/>
        <v>-0,556784691530211+0,265137539255925i</v>
      </c>
      <c r="BD294" s="32">
        <f t="shared" si="305"/>
        <v>-4.19865558113701</v>
      </c>
      <c r="BE294" s="31">
        <f t="shared" si="306"/>
        <v>154.53648953174</v>
      </c>
      <c r="BF294" s="30" t="str">
        <f t="shared" si="307"/>
        <v>0,752726406250199+1,09254818572629i</v>
      </c>
      <c r="BG294" s="68">
        <f t="shared" si="308"/>
        <v>2.45576470067453</v>
      </c>
      <c r="BH294" s="31">
        <f t="shared" si="309"/>
        <v>55.4345555857172</v>
      </c>
      <c r="BI294" s="30" t="str">
        <f t="shared" si="263"/>
        <v>-1,79439813938701+13,932341305131i</v>
      </c>
      <c r="BJ294" s="68">
        <f t="shared" si="310"/>
        <v>22.9519311352059</v>
      </c>
      <c r="BK294" s="31">
        <f t="shared" si="264"/>
        <v>97.338935853238</v>
      </c>
      <c r="BL294" s="32">
        <f t="shared" si="311"/>
        <v>2.45576470067453</v>
      </c>
      <c r="BM294" s="31">
        <f t="shared" si="312"/>
        <v>55.4345555857172</v>
      </c>
      <c r="BO294">
        <f t="shared" si="313"/>
        <v>0</v>
      </c>
      <c r="BP294">
        <f t="shared" si="314"/>
        <v>0</v>
      </c>
    </row>
    <row r="295" spans="14:68">
      <c r="N295" s="7">
        <v>77</v>
      </c>
      <c r="O295" s="18">
        <f t="shared" si="315"/>
        <v>5888.4365535559</v>
      </c>
      <c r="P295" s="86" t="str">
        <f t="shared" si="265"/>
        <v>96,0576923076923</v>
      </c>
      <c r="Q295" s="4" t="str">
        <f t="shared" si="266"/>
        <v>1+49,3868222562385i</v>
      </c>
      <c r="R295" s="4">
        <f t="shared" si="277"/>
        <v>49.3969453769086</v>
      </c>
      <c r="S295" s="4">
        <f t="shared" si="278"/>
        <v>1.55055077700734</v>
      </c>
      <c r="T295" s="4" t="str">
        <f t="shared" si="267"/>
        <v>1+0,580130804397606i</v>
      </c>
      <c r="U295" s="4">
        <f t="shared" si="279"/>
        <v>1.15609331379911</v>
      </c>
      <c r="V295" s="4">
        <f t="shared" si="280"/>
        <v>0.525681666173527</v>
      </c>
      <c r="W295" t="str">
        <f t="shared" si="268"/>
        <v>1-0,275430583153626i</v>
      </c>
      <c r="X295" s="4">
        <f t="shared" si="281"/>
        <v>1.03723768063851</v>
      </c>
      <c r="Y295" s="4">
        <f t="shared" si="282"/>
        <v>-0.268766476551489</v>
      </c>
      <c r="Z295" t="str">
        <f t="shared" si="269"/>
        <v>0,999716949509835+0,472140418215003i</v>
      </c>
      <c r="AA295" s="4">
        <f t="shared" si="283"/>
        <v>1.10559963533346</v>
      </c>
      <c r="AB295" s="4">
        <f t="shared" si="284"/>
        <v>0.441221894666703</v>
      </c>
      <c r="AC295" s="67" t="str">
        <f t="shared" si="285"/>
        <v>-0,344477696263355-2,08081842707936i</v>
      </c>
      <c r="AD295" s="68">
        <f t="shared" si="286"/>
        <v>6.48210686551358</v>
      </c>
      <c r="AE295" s="31">
        <f t="shared" si="287"/>
        <v>-99.4000117782729</v>
      </c>
      <c r="AF295" s="32" t="str">
        <f t="shared" si="288"/>
        <v>236,914774604583</v>
      </c>
      <c r="AG295" s="32" t="str">
        <f t="shared" si="270"/>
        <v>1+12,1959316833588i</v>
      </c>
      <c r="AH295" s="32">
        <f t="shared" si="289"/>
        <v>12.2368602846137</v>
      </c>
      <c r="AI295" s="32">
        <f t="shared" si="290"/>
        <v>1.48898478610824</v>
      </c>
      <c r="AJ295" s="32" t="str">
        <f t="shared" si="271"/>
        <v>1+0,580130804397606i</v>
      </c>
      <c r="AK295" s="32">
        <f t="shared" si="291"/>
        <v>1.15609331379911</v>
      </c>
      <c r="AL295" s="32">
        <f t="shared" si="292"/>
        <v>0.525681666173527</v>
      </c>
      <c r="AM295" s="32" t="str">
        <f t="shared" si="272"/>
        <v>1-0,0275767838961455i</v>
      </c>
      <c r="AN295" s="32">
        <f t="shared" si="293"/>
        <v>1.00038016724146</v>
      </c>
      <c r="AO295" s="32">
        <f t="shared" si="294"/>
        <v>-0.0275697965623283</v>
      </c>
      <c r="AP295" s="30" t="str">
        <f t="shared" si="295"/>
        <v>12,2695563916055-18,7304603131787i</v>
      </c>
      <c r="AQ295" s="32">
        <f t="shared" si="296"/>
        <v>27.0016021286789</v>
      </c>
      <c r="AR295" s="31">
        <f t="shared" si="297"/>
        <v>-56.7728361490991</v>
      </c>
      <c r="AS295" t="str">
        <f t="shared" si="273"/>
        <v>-0,000272527472527473</v>
      </c>
      <c r="AT295" t="str">
        <f t="shared" si="274"/>
        <v>0,0083134816165907i</v>
      </c>
      <c r="AU295">
        <f t="shared" si="298"/>
        <v>0.0083134816165907</v>
      </c>
      <c r="AV295">
        <f t="shared" si="299"/>
        <v>1.5707963267949</v>
      </c>
      <c r="AW295" t="str">
        <f t="shared" si="275"/>
        <v>1+0,425635010333452i</v>
      </c>
      <c r="AX295">
        <f t="shared" si="300"/>
        <v>1.08681422608538</v>
      </c>
      <c r="AY295">
        <f t="shared" si="301"/>
        <v>0.402408383934472</v>
      </c>
      <c r="AZ295" t="str">
        <f t="shared" si="276"/>
        <v>1+20,3489759195589i</v>
      </c>
      <c r="BA295">
        <f t="shared" si="302"/>
        <v>20.3735323637014</v>
      </c>
      <c r="BB295">
        <f t="shared" si="303"/>
        <v>1.52169330694041</v>
      </c>
      <c r="BC295" s="30" t="str">
        <f t="shared" si="304"/>
        <v>-0,552941116141893+0,268132486407349i</v>
      </c>
      <c r="BD295" s="32">
        <f t="shared" si="305"/>
        <v>-4.22923266650178</v>
      </c>
      <c r="BE295" s="31">
        <f t="shared" si="306"/>
        <v>154.130302160865</v>
      </c>
      <c r="BF295" s="30" t="str">
        <f t="shared" si="307"/>
        <v>0,748410900472865+1,05820440234691i</v>
      </c>
      <c r="BG295" s="68">
        <f t="shared" si="308"/>
        <v>2.25287419901179</v>
      </c>
      <c r="BH295" s="31">
        <f t="shared" si="309"/>
        <v>54.7302903825924</v>
      </c>
      <c r="BI295" s="30" t="str">
        <f t="shared" si="263"/>
        <v>-1,76209731041346+13,6467082938168i</v>
      </c>
      <c r="BJ295" s="68">
        <f t="shared" si="310"/>
        <v>22.7723694621771</v>
      </c>
      <c r="BK295" s="31">
        <f t="shared" si="264"/>
        <v>97.3574660117663</v>
      </c>
      <c r="BL295" s="32">
        <f t="shared" si="311"/>
        <v>2.25287419901179</v>
      </c>
      <c r="BM295" s="31">
        <f t="shared" si="312"/>
        <v>54.7302903825924</v>
      </c>
      <c r="BO295">
        <f t="shared" si="313"/>
        <v>0</v>
      </c>
      <c r="BP295">
        <f t="shared" si="314"/>
        <v>0</v>
      </c>
    </row>
    <row r="296" spans="14:68">
      <c r="N296" s="7">
        <v>78</v>
      </c>
      <c r="O296" s="18">
        <f t="shared" si="315"/>
        <v>6025.59586074359</v>
      </c>
      <c r="P296" s="86" t="str">
        <f t="shared" si="265"/>
        <v>96,0576923076923</v>
      </c>
      <c r="Q296" s="4" t="str">
        <f t="shared" si="266"/>
        <v>1+50,5371891258242i</v>
      </c>
      <c r="R296" s="4">
        <f t="shared" si="277"/>
        <v>50.5470818617586</v>
      </c>
      <c r="S296" s="4">
        <f t="shared" si="278"/>
        <v>1.55101150033137</v>
      </c>
      <c r="T296" s="4" t="str">
        <f t="shared" si="267"/>
        <v>1+0,593643786746269i</v>
      </c>
      <c r="U296" s="4">
        <f t="shared" si="279"/>
        <v>1.16293290672439</v>
      </c>
      <c r="V296" s="4">
        <f t="shared" si="280"/>
        <v>0.535732705510616</v>
      </c>
      <c r="W296" t="str">
        <f t="shared" si="268"/>
        <v>1-0,281846185600907i</v>
      </c>
      <c r="X296" s="4">
        <f t="shared" si="281"/>
        <v>1.03895970679222</v>
      </c>
      <c r="Y296" s="4">
        <f t="shared" si="282"/>
        <v>-0.274719848536667</v>
      </c>
      <c r="Z296" t="str">
        <f t="shared" si="269"/>
        <v>0,999703609751208+0,483137981331918i</v>
      </c>
      <c r="AA296" s="4">
        <f t="shared" si="283"/>
        <v>1.1103286073749</v>
      </c>
      <c r="AB296" s="4">
        <f t="shared" si="284"/>
        <v>0.450183351809795</v>
      </c>
      <c r="AC296" s="67" t="str">
        <f t="shared" si="285"/>
        <v>-0,348606762571437-2,03834452877965i</v>
      </c>
      <c r="AD296" s="68">
        <f t="shared" si="286"/>
        <v>6.31075791400953</v>
      </c>
      <c r="AE296" s="31">
        <f t="shared" si="287"/>
        <v>-99.7050839077365</v>
      </c>
      <c r="AF296" s="32" t="str">
        <f t="shared" si="288"/>
        <v>236,914774604583</v>
      </c>
      <c r="AG296" s="32" t="str">
        <f t="shared" si="270"/>
        <v>1+12,4800114259159i</v>
      </c>
      <c r="AH296" s="32">
        <f t="shared" si="289"/>
        <v>12.5200113894114</v>
      </c>
      <c r="AI296" s="32">
        <f t="shared" si="290"/>
        <v>1.49083902544067</v>
      </c>
      <c r="AJ296" s="32" t="str">
        <f t="shared" si="271"/>
        <v>1+0,593643786746269i</v>
      </c>
      <c r="AK296" s="32">
        <f t="shared" si="291"/>
        <v>1.16293290672439</v>
      </c>
      <c r="AL296" s="32">
        <f t="shared" si="292"/>
        <v>0.535732705510616</v>
      </c>
      <c r="AM296" s="32" t="str">
        <f t="shared" si="272"/>
        <v>1-0,0282191297105665i</v>
      </c>
      <c r="AN296" s="32">
        <f t="shared" si="293"/>
        <v>1.00039808040681</v>
      </c>
      <c r="AO296" s="32">
        <f t="shared" si="294"/>
        <v>-0.0282116428083868</v>
      </c>
      <c r="AP296" s="30" t="str">
        <f t="shared" si="295"/>
        <v>12,2020147221827-18,3238279745475i</v>
      </c>
      <c r="AQ296" s="32">
        <f t="shared" si="296"/>
        <v>26.8542986134163</v>
      </c>
      <c r="AR296" s="31">
        <f t="shared" si="297"/>
        <v>-56.3399691843151</v>
      </c>
      <c r="AS296" t="str">
        <f t="shared" si="273"/>
        <v>-0,000272527472527473</v>
      </c>
      <c r="AT296" t="str">
        <f t="shared" si="274"/>
        <v>0,00850712747971214i</v>
      </c>
      <c r="AU296">
        <f t="shared" si="298"/>
        <v>0.00850712747971214</v>
      </c>
      <c r="AV296">
        <f t="shared" si="299"/>
        <v>1.5707963267949</v>
      </c>
      <c r="AW296" t="str">
        <f t="shared" si="275"/>
        <v>1+0,435549323343569i</v>
      </c>
      <c r="AX296">
        <f t="shared" si="300"/>
        <v>1.09073517091228</v>
      </c>
      <c r="AY296">
        <f t="shared" si="301"/>
        <v>0.410771980150394</v>
      </c>
      <c r="AZ296" t="str">
        <f t="shared" si="276"/>
        <v>1+20,8229644585744i</v>
      </c>
      <c r="BA296">
        <f t="shared" si="302"/>
        <v>20.8469625807467</v>
      </c>
      <c r="BB296">
        <f t="shared" si="303"/>
        <v>1.52280929310474</v>
      </c>
      <c r="BC296" s="30" t="str">
        <f t="shared" si="304"/>
        <v>-0,548972866395389+0,271139953708697i</v>
      </c>
      <c r="BD296" s="32">
        <f t="shared" si="305"/>
        <v>-4.26098365316847</v>
      </c>
      <c r="BE296" s="31">
        <f t="shared" si="306"/>
        <v>153.715044693352</v>
      </c>
      <c r="BF296" s="30" t="str">
        <f t="shared" si="307"/>
        <v>0,744052294869349+1,02447461719936i</v>
      </c>
      <c r="BG296" s="68">
        <f t="shared" si="308"/>
        <v>2.04977426084103</v>
      </c>
      <c r="BH296" s="31">
        <f t="shared" si="309"/>
        <v>54.0099607856159</v>
      </c>
      <c r="BI296" s="30" t="str">
        <f t="shared" si="263"/>
        <v>-1,73025312905044+13,3677380734488i</v>
      </c>
      <c r="BJ296" s="68">
        <f t="shared" si="310"/>
        <v>22.5933149602478</v>
      </c>
      <c r="BK296" s="31">
        <f t="shared" si="264"/>
        <v>97.3750755090374</v>
      </c>
      <c r="BL296" s="32">
        <f t="shared" si="311"/>
        <v>2.04977426084103</v>
      </c>
      <c r="BM296" s="31">
        <f t="shared" si="312"/>
        <v>54.0099607856159</v>
      </c>
      <c r="BO296">
        <f t="shared" si="313"/>
        <v>0</v>
      </c>
      <c r="BP296">
        <f t="shared" si="314"/>
        <v>0</v>
      </c>
    </row>
    <row r="297" spans="14:68">
      <c r="N297" s="7">
        <v>79</v>
      </c>
      <c r="O297" s="18">
        <f t="shared" si="315"/>
        <v>6165.95001861483</v>
      </c>
      <c r="P297" s="86" t="str">
        <f t="shared" si="265"/>
        <v>96,0576923076923</v>
      </c>
      <c r="Q297" s="4" t="str">
        <f t="shared" si="266"/>
        <v>1+51,7143514820229i</v>
      </c>
      <c r="R297" s="4">
        <f t="shared" si="277"/>
        <v>51.724019074374</v>
      </c>
      <c r="S297" s="4">
        <f t="shared" si="278"/>
        <v>1.55146174442949</v>
      </c>
      <c r="T297" s="4" t="str">
        <f t="shared" si="267"/>
        <v>1+0,607471526888466i</v>
      </c>
      <c r="U297" s="4">
        <f t="shared" si="279"/>
        <v>1.17005198858008</v>
      </c>
      <c r="V297" s="4">
        <f t="shared" si="280"/>
        <v>0.545895165907186</v>
      </c>
      <c r="W297" t="str">
        <f t="shared" si="268"/>
        <v>1-0,288411226626469i</v>
      </c>
      <c r="X297" s="4">
        <f t="shared" si="281"/>
        <v>1.0407598357182</v>
      </c>
      <c r="Y297" s="4">
        <f t="shared" si="282"/>
        <v>-0.28079127701974</v>
      </c>
      <c r="Z297" t="str">
        <f t="shared" si="269"/>
        <v>0,999689641309126+0,49439171060162i</v>
      </c>
      <c r="AA297" s="4">
        <f t="shared" si="283"/>
        <v>1.11525895757549</v>
      </c>
      <c r="AB297" s="4">
        <f t="shared" si="284"/>
        <v>0.45927425210326</v>
      </c>
      <c r="AC297" s="67" t="str">
        <f t="shared" si="285"/>
        <v>-0,35272427885333-1,99686219528457i</v>
      </c>
      <c r="AD297" s="68">
        <f t="shared" si="286"/>
        <v>6.14039697133411</v>
      </c>
      <c r="AE297" s="31">
        <f t="shared" si="287"/>
        <v>-100.017352350603</v>
      </c>
      <c r="AF297" s="32" t="str">
        <f t="shared" si="288"/>
        <v>236,914774604583</v>
      </c>
      <c r="AG297" s="32" t="str">
        <f t="shared" si="270"/>
        <v>1+12,7707082357234i</v>
      </c>
      <c r="AH297" s="32">
        <f t="shared" si="289"/>
        <v>12.8098004996945</v>
      </c>
      <c r="AI297" s="32">
        <f t="shared" si="290"/>
        <v>1.49265158970542</v>
      </c>
      <c r="AJ297" s="32" t="str">
        <f t="shared" si="271"/>
        <v>1+0,607471526888466i</v>
      </c>
      <c r="AK297" s="32">
        <f t="shared" si="291"/>
        <v>1.17005198858008</v>
      </c>
      <c r="AL297" s="32">
        <f t="shared" si="292"/>
        <v>0.545895165907186</v>
      </c>
      <c r="AM297" s="32" t="str">
        <f t="shared" si="272"/>
        <v>1-0,0288764376810843i</v>
      </c>
      <c r="AN297" s="32">
        <f t="shared" si="293"/>
        <v>1.00041683744984</v>
      </c>
      <c r="AO297" s="32">
        <f t="shared" si="294"/>
        <v>-0.0288684155013828</v>
      </c>
      <c r="AP297" s="30" t="str">
        <f t="shared" si="295"/>
        <v>12,1374750044536-17,9264268533769i</v>
      </c>
      <c r="AQ297" s="32">
        <f t="shared" si="296"/>
        <v>26.7087186146148</v>
      </c>
      <c r="AR297" s="31">
        <f t="shared" si="297"/>
        <v>-55.8991856799973</v>
      </c>
      <c r="AS297" t="str">
        <f t="shared" si="273"/>
        <v>-0,000272527472527473</v>
      </c>
      <c r="AT297" t="str">
        <f t="shared" si="274"/>
        <v>0,00870528393442846i</v>
      </c>
      <c r="AU297">
        <f t="shared" si="298"/>
        <v>0.00870528393442846</v>
      </c>
      <c r="AV297">
        <f t="shared" si="299"/>
        <v>1.5707963267949</v>
      </c>
      <c r="AW297" t="str">
        <f t="shared" si="275"/>
        <v>1+0,445694570370098i</v>
      </c>
      <c r="AX297">
        <f t="shared" si="300"/>
        <v>1.09482585375821</v>
      </c>
      <c r="AY297">
        <f t="shared" si="301"/>
        <v>0.419267764671181</v>
      </c>
      <c r="AZ297" t="str">
        <f t="shared" si="276"/>
        <v>1+21,3079936089704i</v>
      </c>
      <c r="BA297">
        <f t="shared" si="302"/>
        <v>21.331446074749</v>
      </c>
      <c r="BB297">
        <f t="shared" si="303"/>
        <v>1.52389999192217</v>
      </c>
      <c r="BC297" s="30" t="str">
        <f t="shared" si="304"/>
        <v>-0,544878190448723+0,274155234187468i</v>
      </c>
      <c r="BD297" s="32">
        <f t="shared" si="305"/>
        <v>-4.2939479835826</v>
      </c>
      <c r="BE297" s="31">
        <f t="shared" si="306"/>
        <v>153.290764535618</v>
      </c>
      <c r="BF297" s="30" t="str">
        <f t="shared" si="307"/>
        <v>0,739641989577276+0,991345452269481i</v>
      </c>
      <c r="BG297" s="68">
        <f t="shared" si="308"/>
        <v>1.84644898775152</v>
      </c>
      <c r="BH297" s="31">
        <f t="shared" si="309"/>
        <v>53.2734121850151</v>
      </c>
      <c r="BI297" s="30" t="str">
        <f t="shared" si="263"/>
        <v>-1,69882166491122+13,0952713273699i</v>
      </c>
      <c r="BJ297" s="68">
        <f t="shared" si="310"/>
        <v>22.4147706310322</v>
      </c>
      <c r="BK297" s="31">
        <f t="shared" si="264"/>
        <v>97.3915788556205</v>
      </c>
      <c r="BL297" s="32">
        <f t="shared" si="311"/>
        <v>1.84644898775152</v>
      </c>
      <c r="BM297" s="31">
        <f t="shared" si="312"/>
        <v>53.2734121850151</v>
      </c>
      <c r="BO297">
        <f t="shared" si="313"/>
        <v>0</v>
      </c>
      <c r="BP297">
        <f t="shared" si="314"/>
        <v>0</v>
      </c>
    </row>
    <row r="298" spans="14:68">
      <c r="N298" s="7">
        <v>80</v>
      </c>
      <c r="O298" s="18">
        <f t="shared" si="315"/>
        <v>6309.57344480194</v>
      </c>
      <c r="P298" s="86" t="str">
        <f t="shared" si="265"/>
        <v>96,0576923076923</v>
      </c>
      <c r="Q298" s="4" t="str">
        <f t="shared" si="266"/>
        <v>1+52,9189334718978i</v>
      </c>
      <c r="R298" s="4">
        <f t="shared" si="277"/>
        <v>52.928381042718</v>
      </c>
      <c r="S298" s="4">
        <f t="shared" si="278"/>
        <v>1.55190174729648</v>
      </c>
      <c r="T298" s="4" t="str">
        <f t="shared" si="267"/>
        <v>1+0,621621356475056i</v>
      </c>
      <c r="U298" s="4">
        <f t="shared" si="279"/>
        <v>1.17746044979264</v>
      </c>
      <c r="V298" s="4">
        <f t="shared" si="280"/>
        <v>0.55616603887404</v>
      </c>
      <c r="W298" t="str">
        <f t="shared" si="268"/>
        <v>1-0,295129187101962i</v>
      </c>
      <c r="X298" s="4">
        <f t="shared" si="281"/>
        <v>1.04264147101459</v>
      </c>
      <c r="Y298" s="4">
        <f t="shared" si="282"/>
        <v>-0.286982190002262</v>
      </c>
      <c r="Z298" t="str">
        <f t="shared" si="269"/>
        <v>0,99967501455465+0,505907572900332i</v>
      </c>
      <c r="AA298" s="4">
        <f t="shared" si="283"/>
        <v>1.12039841442352</v>
      </c>
      <c r="AB298" s="4">
        <f t="shared" si="284"/>
        <v>0.468493432524603</v>
      </c>
      <c r="AC298" s="67" t="str">
        <f t="shared" si="285"/>
        <v>-0,356834182981495-1,95634590960269i</v>
      </c>
      <c r="AD298" s="68">
        <f t="shared" si="286"/>
        <v>5.9710475316642</v>
      </c>
      <c r="AE298" s="31">
        <f t="shared" si="287"/>
        <v>-100.337018298883</v>
      </c>
      <c r="AF298" s="32" t="str">
        <f t="shared" si="288"/>
        <v>236,914774604583</v>
      </c>
      <c r="AG298" s="32" t="str">
        <f t="shared" si="270"/>
        <v>1+13,0681762440779i</v>
      </c>
      <c r="AH298" s="32">
        <f t="shared" si="289"/>
        <v>13.1063812834162</v>
      </c>
      <c r="AI298" s="32">
        <f t="shared" si="290"/>
        <v>1.49442339228164</v>
      </c>
      <c r="AJ298" s="32" t="str">
        <f t="shared" si="271"/>
        <v>1+0,621621356475056i</v>
      </c>
      <c r="AK298" s="32">
        <f t="shared" si="291"/>
        <v>1.17746044979264</v>
      </c>
      <c r="AL298" s="32">
        <f t="shared" si="292"/>
        <v>0.55616603887404</v>
      </c>
      <c r="AM298" s="32" t="str">
        <f t="shared" si="272"/>
        <v>1-0,0295490563210854i</v>
      </c>
      <c r="AN298" s="32">
        <f t="shared" si="293"/>
        <v>1.00043647810816</v>
      </c>
      <c r="AO298" s="32">
        <f t="shared" si="294"/>
        <v>-0.0295404606032015</v>
      </c>
      <c r="AP298" s="30" t="str">
        <f t="shared" si="295"/>
        <v>12,0758054354216-17,5380781786883i</v>
      </c>
      <c r="AQ298" s="32">
        <f t="shared" si="296"/>
        <v>26.5649038848358</v>
      </c>
      <c r="AR298" s="31">
        <f t="shared" si="297"/>
        <v>-55.450730164806</v>
      </c>
      <c r="AS298" t="str">
        <f t="shared" si="273"/>
        <v>-0,000272527472527473</v>
      </c>
      <c r="AT298" t="str">
        <f t="shared" si="274"/>
        <v>0,00890805604591487i</v>
      </c>
      <c r="AU298">
        <f t="shared" si="298"/>
        <v>0.00890805604591487</v>
      </c>
      <c r="AV298">
        <f t="shared" si="299"/>
        <v>1.5707963267949</v>
      </c>
      <c r="AW298" t="str">
        <f t="shared" si="275"/>
        <v>1+0,456076130557302i</v>
      </c>
      <c r="AX298">
        <f t="shared" si="300"/>
        <v>1.09909300646675</v>
      </c>
      <c r="AY298">
        <f t="shared" si="301"/>
        <v>0.427895335333278</v>
      </c>
      <c r="AZ298" t="str">
        <f t="shared" si="276"/>
        <v>1+21,8043205396225i</v>
      </c>
      <c r="BA298">
        <f t="shared" si="302"/>
        <v>21.8272397291688</v>
      </c>
      <c r="BB298">
        <f t="shared" si="303"/>
        <v>1.52496597130959</v>
      </c>
      <c r="BC298" s="30" t="str">
        <f t="shared" si="304"/>
        <v>-0,540655499640425+0,277173440253771i</v>
      </c>
      <c r="BD298" s="32">
        <f t="shared" si="305"/>
        <v>-4.3281655678237</v>
      </c>
      <c r="BE298" s="31">
        <f t="shared" si="306"/>
        <v>152.857517269176</v>
      </c>
      <c r="BF298" s="30" t="str">
        <f t="shared" si="307"/>
        <v>0,735171489579614+0,95880421712862i</v>
      </c>
      <c r="BG298" s="68">
        <f t="shared" si="308"/>
        <v>1.64288196384051</v>
      </c>
      <c r="BH298" s="31">
        <f t="shared" si="309"/>
        <v>52.520498970293</v>
      </c>
      <c r="BI298" s="30" t="str">
        <f t="shared" si="263"/>
        <v>-1,6677611570218+12,8291509568025i</v>
      </c>
      <c r="BJ298" s="68">
        <f t="shared" si="310"/>
        <v>22.2367383170121</v>
      </c>
      <c r="BK298" s="31">
        <f t="shared" si="264"/>
        <v>97.4067871043699</v>
      </c>
      <c r="BL298" s="32">
        <f t="shared" si="311"/>
        <v>1.64288196384051</v>
      </c>
      <c r="BM298" s="31">
        <f t="shared" si="312"/>
        <v>52.520498970293</v>
      </c>
      <c r="BO298">
        <f t="shared" si="313"/>
        <v>0</v>
      </c>
      <c r="BP298">
        <f t="shared" si="314"/>
        <v>0</v>
      </c>
    </row>
    <row r="299" spans="14:68">
      <c r="N299" s="7">
        <v>81</v>
      </c>
      <c r="O299" s="18">
        <f t="shared" si="315"/>
        <v>6456.54229034656</v>
      </c>
      <c r="P299" s="86" t="str">
        <f t="shared" si="265"/>
        <v>96,0576923076923</v>
      </c>
      <c r="Q299" s="4" t="str">
        <f t="shared" si="266"/>
        <v>1+54,1515737807644i</v>
      </c>
      <c r="R299" s="4">
        <f t="shared" si="277"/>
        <v>54.1608063357034</v>
      </c>
      <c r="S299" s="4">
        <f t="shared" si="278"/>
        <v>1.55233174154581</v>
      </c>
      <c r="T299" s="4" t="str">
        <f t="shared" si="267"/>
        <v>1+0,636100777932981i</v>
      </c>
      <c r="U299" s="4">
        <f t="shared" si="279"/>
        <v>1.18516842671704</v>
      </c>
      <c r="V299" s="4">
        <f t="shared" si="280"/>
        <v>0.56654210189423</v>
      </c>
      <c r="W299" t="str">
        <f t="shared" si="268"/>
        <v>1-0,302003628978953i</v>
      </c>
      <c r="X299" s="4">
        <f t="shared" si="281"/>
        <v>1.04460815233103</v>
      </c>
      <c r="Y299" s="4">
        <f t="shared" si="282"/>
        <v>-0.293293971008769</v>
      </c>
      <c r="Z299" t="str">
        <f t="shared" si="269"/>
        <v>0,999659698462473+0,517691674090674i</v>
      </c>
      <c r="AA299" s="4">
        <f t="shared" si="283"/>
        <v>1.1257549387646</v>
      </c>
      <c r="AB299" s="4">
        <f t="shared" si="284"/>
        <v>0.477839541535371</v>
      </c>
      <c r="AC299" s="67" t="str">
        <f t="shared" si="285"/>
        <v>-0,360940121795037-1,91677058470596i</v>
      </c>
      <c r="AD299" s="68">
        <f t="shared" si="286"/>
        <v>5.80273301274382</v>
      </c>
      <c r="AE299" s="31">
        <f t="shared" si="287"/>
        <v>-100.664281549635</v>
      </c>
      <c r="AF299" s="32" t="str">
        <f t="shared" si="288"/>
        <v>236,914774604583</v>
      </c>
      <c r="AG299" s="32" t="str">
        <f t="shared" si="270"/>
        <v>1+13,3725731724547i</v>
      </c>
      <c r="AH299" s="32">
        <f t="shared" si="289"/>
        <v>13.4099110083794</v>
      </c>
      <c r="AI299" s="32">
        <f t="shared" si="290"/>
        <v>1.49615532808011</v>
      </c>
      <c r="AJ299" s="32" t="str">
        <f t="shared" si="271"/>
        <v>1+0,636100777932981i</v>
      </c>
      <c r="AK299" s="32">
        <f t="shared" si="291"/>
        <v>1.18516842671704</v>
      </c>
      <c r="AL299" s="32">
        <f t="shared" si="292"/>
        <v>0.56654210189423</v>
      </c>
      <c r="AM299" s="32" t="str">
        <f t="shared" si="272"/>
        <v>1-0,030237342261876i</v>
      </c>
      <c r="AN299" s="32">
        <f t="shared" si="293"/>
        <v>1.00045704398893</v>
      </c>
      <c r="AO299" s="32">
        <f t="shared" si="294"/>
        <v>-0.0302281320114574</v>
      </c>
      <c r="AP299" s="30" t="str">
        <f t="shared" si="295"/>
        <v>12,016879857035-17,1586058896192i</v>
      </c>
      <c r="AQ299" s="32">
        <f t="shared" si="296"/>
        <v>26.4228953809386</v>
      </c>
      <c r="AR299" s="31">
        <f t="shared" si="297"/>
        <v>-54.9948588268119</v>
      </c>
      <c r="AS299" t="str">
        <f t="shared" si="273"/>
        <v>-0,000272527472527473</v>
      </c>
      <c r="AT299" t="str">
        <f t="shared" si="274"/>
        <v>0,00911555132662889i</v>
      </c>
      <c r="AU299">
        <f t="shared" si="298"/>
        <v>0.00911555132662889</v>
      </c>
      <c r="AV299">
        <f t="shared" si="299"/>
        <v>1.5707963267949</v>
      </c>
      <c r="AW299" t="str">
        <f t="shared" si="275"/>
        <v>1+0,466699508345809i</v>
      </c>
      <c r="AX299">
        <f t="shared" si="300"/>
        <v>1.10354357915318</v>
      </c>
      <c r="AY299">
        <f t="shared" si="301"/>
        <v>0.436654128006274</v>
      </c>
      <c r="AZ299" t="str">
        <f t="shared" si="276"/>
        <v>1+22,312208409639i</v>
      </c>
      <c r="BA299">
        <f t="shared" si="302"/>
        <v>22.3346064240041</v>
      </c>
      <c r="BB299">
        <f t="shared" si="303"/>
        <v>1.52600778676759</v>
      </c>
      <c r="BC299" s="30" t="str">
        <f t="shared" si="304"/>
        <v>-0,536303384310973+0,28018950762801i</v>
      </c>
      <c r="BD299" s="32">
        <f t="shared" si="305"/>
        <v>-4.36367673317583</v>
      </c>
      <c r="BE299" s="31">
        <f t="shared" si="306"/>
        <v>152.415367044158</v>
      </c>
      <c r="BF299" s="30" t="str">
        <f t="shared" si="307"/>
        <v>0,730632415216909+0,926838916516583i</v>
      </c>
      <c r="BG299" s="68">
        <f t="shared" si="308"/>
        <v>1.43905627956798</v>
      </c>
      <c r="BH299" s="31">
        <f t="shared" si="309"/>
        <v>51.7510854945225</v>
      </c>
      <c r="BI299" s="30" t="str">
        <f t="shared" si="263"/>
        <v>-1,63703200039076+12,5692220590286i</v>
      </c>
      <c r="BJ299" s="68">
        <f t="shared" si="310"/>
        <v>22.0592186477628</v>
      </c>
      <c r="BK299" s="31">
        <f t="shared" si="264"/>
        <v>97.4205082173459</v>
      </c>
      <c r="BL299" s="32">
        <f t="shared" si="311"/>
        <v>1.43905627956798</v>
      </c>
      <c r="BM299" s="31">
        <f t="shared" si="312"/>
        <v>51.7510854945225</v>
      </c>
      <c r="BO299">
        <f t="shared" si="313"/>
        <v>0</v>
      </c>
      <c r="BP299">
        <f t="shared" si="314"/>
        <v>0</v>
      </c>
    </row>
    <row r="300" spans="14:68">
      <c r="N300" s="7">
        <v>82</v>
      </c>
      <c r="O300" s="18">
        <f t="shared" si="315"/>
        <v>6606.93448007597</v>
      </c>
      <c r="P300" s="86" t="str">
        <f t="shared" si="265"/>
        <v>96,0576923076923</v>
      </c>
      <c r="Q300" s="4" t="str">
        <f t="shared" si="266"/>
        <v>1+55,4129259708305i</v>
      </c>
      <c r="R300" s="4">
        <f t="shared" si="277"/>
        <v>55.4219484017726</v>
      </c>
      <c r="S300" s="4">
        <f t="shared" si="278"/>
        <v>1.55275195452972</v>
      </c>
      <c r="T300" s="4" t="str">
        <f t="shared" si="267"/>
        <v>1+0,650917468443157i</v>
      </c>
      <c r="U300" s="4">
        <f t="shared" si="279"/>
        <v>1.19318630176702</v>
      </c>
      <c r="V300" s="4">
        <f t="shared" si="280"/>
        <v>0.577019919253472</v>
      </c>
      <c r="W300" t="str">
        <f t="shared" si="268"/>
        <v>1-0,309038197177519i</v>
      </c>
      <c r="X300" s="4">
        <f t="shared" si="281"/>
        <v>1.04666355975296</v>
      </c>
      <c r="Y300" s="4">
        <f t="shared" si="282"/>
        <v>-0.29972795425529</v>
      </c>
      <c r="Z300" t="str">
        <f t="shared" si="269"/>
        <v>0,99964366054511+0,52975026225908i</v>
      </c>
      <c r="AA300" s="4">
        <f t="shared" si="283"/>
        <v>1.13133672636912</v>
      </c>
      <c r="AB300" s="4">
        <f t="shared" si="284"/>
        <v>0.487311033978371</v>
      </c>
      <c r="AC300" s="67" t="str">
        <f t="shared" si="285"/>
        <v>-0,365045450159251-1,87811155879705i</v>
      </c>
      <c r="AD300" s="68">
        <f t="shared" si="286"/>
        <v>5.63547673055579</v>
      </c>
      <c r="AE300" s="31">
        <f t="shared" si="287"/>
        <v>-100.999339895074</v>
      </c>
      <c r="AF300" s="32" t="str">
        <f t="shared" si="288"/>
        <v>236,914774604583</v>
      </c>
      <c r="AG300" s="32" t="str">
        <f t="shared" si="270"/>
        <v>1+13,6840604161345i</v>
      </c>
      <c r="AH300" s="32">
        <f t="shared" si="289"/>
        <v>13.7205506257008</v>
      </c>
      <c r="AI300" s="32">
        <f t="shared" si="290"/>
        <v>1.49784827381191</v>
      </c>
      <c r="AJ300" s="32" t="str">
        <f t="shared" si="271"/>
        <v>1+0,650917468443157i</v>
      </c>
      <c r="AK300" s="32">
        <f t="shared" si="291"/>
        <v>1.19318630176702</v>
      </c>
      <c r="AL300" s="32">
        <f t="shared" si="292"/>
        <v>0.577019919253472</v>
      </c>
      <c r="AM300" s="32" t="str">
        <f t="shared" si="272"/>
        <v>1-0,0309416604417724i</v>
      </c>
      <c r="AN300" s="32">
        <f t="shared" si="293"/>
        <v>1.00047857865668</v>
      </c>
      <c r="AO300" s="32">
        <f t="shared" si="294"/>
        <v>-0.0309317917355909</v>
      </c>
      <c r="AP300" s="30" t="str">
        <f t="shared" si="295"/>
        <v>11,9605775269012-16,787836677035i</v>
      </c>
      <c r="AQ300" s="32">
        <f t="shared" si="296"/>
        <v>26.2827331576373</v>
      </c>
      <c r="AR300" s="31">
        <f t="shared" si="297"/>
        <v>-54.5318394914016</v>
      </c>
      <c r="AS300" t="str">
        <f t="shared" si="273"/>
        <v>-0,000272527472527473</v>
      </c>
      <c r="AT300" t="str">
        <f t="shared" si="274"/>
        <v>0,00932787979331488i</v>
      </c>
      <c r="AU300">
        <f t="shared" si="298"/>
        <v>0.00932787979331488</v>
      </c>
      <c r="AV300">
        <f t="shared" si="299"/>
        <v>1.5707963267949</v>
      </c>
      <c r="AW300" t="str">
        <f t="shared" si="275"/>
        <v>1+0,47757033639114i</v>
      </c>
      <c r="AX300">
        <f t="shared" si="300"/>
        <v>1.10818474371413</v>
      </c>
      <c r="AY300">
        <f t="shared" si="301"/>
        <v>0.44554341014493</v>
      </c>
      <c r="AZ300" t="str">
        <f t="shared" si="276"/>
        <v>1+22,8319265078913i</v>
      </c>
      <c r="BA300">
        <f t="shared" si="302"/>
        <v>22.8538151751901</v>
      </c>
      <c r="BB300">
        <f t="shared" si="303"/>
        <v>1.52702598162923</v>
      </c>
      <c r="BC300" s="30" t="str">
        <f t="shared" si="304"/>
        <v>-0,531820629859764+0,283198200555915i</v>
      </c>
      <c r="BD300" s="32">
        <f t="shared" si="305"/>
        <v>-4.40052216872993</v>
      </c>
      <c r="BE300" s="31">
        <f t="shared" si="306"/>
        <v>151.964386963006</v>
      </c>
      <c r="BF300" s="30" t="str">
        <f t="shared" si="307"/>
        <v>0,726016515125723+0,895438257540127i</v>
      </c>
      <c r="BG300" s="68">
        <f t="shared" si="308"/>
        <v>1.23495456182585</v>
      </c>
      <c r="BH300" s="31">
        <f t="shared" si="309"/>
        <v>50.9650470679321</v>
      </c>
      <c r="BI300" s="30" t="str">
        <f t="shared" si="263"/>
        <v>-1,60659673568023+12,3153319087915i</v>
      </c>
      <c r="BJ300" s="68">
        <f t="shared" si="310"/>
        <v>21.8822109889074</v>
      </c>
      <c r="BK300" s="31">
        <f t="shared" si="264"/>
        <v>97.4325474716044</v>
      </c>
      <c r="BL300" s="32">
        <f t="shared" si="311"/>
        <v>1.23495456182585</v>
      </c>
      <c r="BM300" s="31">
        <f t="shared" si="312"/>
        <v>50.9650470679321</v>
      </c>
      <c r="BO300">
        <f t="shared" si="313"/>
        <v>0</v>
      </c>
      <c r="BP300">
        <f t="shared" si="314"/>
        <v>0</v>
      </c>
    </row>
    <row r="301" spans="14:68">
      <c r="N301" s="7">
        <v>83</v>
      </c>
      <c r="O301" s="18">
        <f t="shared" si="315"/>
        <v>6760.82975391982</v>
      </c>
      <c r="P301" s="86" t="str">
        <f t="shared" si="265"/>
        <v>96,0576923076923</v>
      </c>
      <c r="Q301" s="4" t="str">
        <f t="shared" si="266"/>
        <v>1+56,7036588277231i</v>
      </c>
      <c r="R301" s="4">
        <f t="shared" si="277"/>
        <v>56.7124759153647</v>
      </c>
      <c r="S301" s="4">
        <f t="shared" si="278"/>
        <v>1.55316260845675</v>
      </c>
      <c r="T301" s="4" t="str">
        <f t="shared" si="267"/>
        <v>1+0,666079284011011i</v>
      </c>
      <c r="U301" s="4">
        <f t="shared" si="279"/>
        <v>1.20152470327856</v>
      </c>
      <c r="V301" s="4">
        <f t="shared" si="280"/>
        <v>0.587595843766707</v>
      </c>
      <c r="W301" t="str">
        <f t="shared" si="268"/>
        <v>1-0,316236621518834i</v>
      </c>
      <c r="X301" s="4">
        <f t="shared" si="281"/>
        <v>1.04881151823845</v>
      </c>
      <c r="Y301" s="4">
        <f t="shared" si="282"/>
        <v>-0.306285419605535</v>
      </c>
      <c r="Z301" t="str">
        <f t="shared" si="269"/>
        <v>0,999626866783988+0,542089731028608i</v>
      </c>
      <c r="AA301" s="4">
        <f t="shared" si="283"/>
        <v>1.13715221025289</v>
      </c>
      <c r="AB301" s="4">
        <f t="shared" si="284"/>
        <v>0.49690616642047</v>
      </c>
      <c r="AC301" s="67" t="str">
        <f t="shared" si="285"/>
        <v>-0,36915322993125-1,84034459158537i</v>
      </c>
      <c r="AD301" s="68">
        <f t="shared" si="286"/>
        <v>5.46930187553001</v>
      </c>
      <c r="AE301" s="31">
        <f t="shared" si="287"/>
        <v>-101.34238847455</v>
      </c>
      <c r="AF301" s="32" t="str">
        <f t="shared" si="288"/>
        <v>236,914774604583</v>
      </c>
      <c r="AG301" s="32" t="str">
        <f t="shared" si="270"/>
        <v>1+14,0028031297769i</v>
      </c>
      <c r="AH301" s="32">
        <f t="shared" si="289"/>
        <v>14.0384648552215</v>
      </c>
      <c r="AI301" s="32">
        <f t="shared" si="290"/>
        <v>1.4995030882608</v>
      </c>
      <c r="AJ301" s="32" t="str">
        <f t="shared" si="271"/>
        <v>1+0,666079284011011i</v>
      </c>
      <c r="AK301" s="32">
        <f t="shared" si="291"/>
        <v>1.20152470327856</v>
      </c>
      <c r="AL301" s="32">
        <f t="shared" si="292"/>
        <v>0.587595843766707</v>
      </c>
      <c r="AM301" s="32" t="str">
        <f t="shared" si="272"/>
        <v>1-0,0316623842995964i</v>
      </c>
      <c r="AN301" s="32">
        <f t="shared" si="293"/>
        <v>1.00050112772527</v>
      </c>
      <c r="AO301" s="32">
        <f t="shared" si="294"/>
        <v>-0.0316518100764436</v>
      </c>
      <c r="AP301" s="30" t="str">
        <f t="shared" si="295"/>
        <v>11,9067828972041-16,4256000180752i</v>
      </c>
      <c r="AQ301" s="32">
        <f t="shared" si="296"/>
        <v>26.1444562593969</v>
      </c>
      <c r="AR301" s="31">
        <f t="shared" si="297"/>
        <v>-54.0619515482456</v>
      </c>
      <c r="AS301" t="str">
        <f t="shared" si="273"/>
        <v>-0,000272527472527473</v>
      </c>
      <c r="AT301" t="str">
        <f t="shared" si="274"/>
        <v>0,00954515402533636i</v>
      </c>
      <c r="AU301">
        <f t="shared" si="298"/>
        <v>0.00954515402533636</v>
      </c>
      <c r="AV301">
        <f t="shared" si="299"/>
        <v>1.5707963267949</v>
      </c>
      <c r="AW301" t="str">
        <f t="shared" si="275"/>
        <v>1+0,488694378550216i</v>
      </c>
      <c r="AX301">
        <f t="shared" si="300"/>
        <v>1.11302389714982</v>
      </c>
      <c r="AY301">
        <f t="shared" si="301"/>
        <v>0.454562274555776</v>
      </c>
      <c r="AZ301" t="str">
        <f t="shared" si="276"/>
        <v>1+23,3637503957944i</v>
      </c>
      <c r="BA301">
        <f t="shared" si="302"/>
        <v>23.3851412772509</v>
      </c>
      <c r="BB301">
        <f t="shared" si="303"/>
        <v>1.52802108730544</v>
      </c>
      <c r="BC301" s="30" t="str">
        <f t="shared" si="304"/>
        <v>-0,527206232937878+0,286194118380615i</v>
      </c>
      <c r="BD301" s="32">
        <f t="shared" si="305"/>
        <v>-4.43874286496414</v>
      </c>
      <c r="BE301" s="31">
        <f t="shared" si="306"/>
        <v>151.50465945168</v>
      </c>
      <c r="BF301" s="30" t="str">
        <f t="shared" si="307"/>
        <v>0,721315681634213+0,86459165624979i</v>
      </c>
      <c r="BG301" s="68">
        <f t="shared" si="308"/>
        <v>1.03055901056588</v>
      </c>
      <c r="BH301" s="31">
        <f t="shared" si="309"/>
        <v>50.1622709771304</v>
      </c>
      <c r="BI301" s="30" t="str">
        <f t="shared" si="263"/>
        <v>-1,57642004159848+12,0673299432885i</v>
      </c>
      <c r="BJ301" s="68">
        <f t="shared" si="310"/>
        <v>21.7057133944328</v>
      </c>
      <c r="BK301" s="31">
        <f t="shared" si="264"/>
        <v>97.4427079034345</v>
      </c>
      <c r="BL301" s="32">
        <f t="shared" si="311"/>
        <v>1.03055901056588</v>
      </c>
      <c r="BM301" s="31">
        <f t="shared" si="312"/>
        <v>50.1622709771304</v>
      </c>
      <c r="BO301">
        <f t="shared" si="313"/>
        <v>0</v>
      </c>
      <c r="BP301">
        <f t="shared" si="314"/>
        <v>0</v>
      </c>
    </row>
    <row r="302" spans="14:68">
      <c r="N302" s="7">
        <v>84</v>
      </c>
      <c r="O302" s="18">
        <f t="shared" si="315"/>
        <v>6918.30970918937</v>
      </c>
      <c r="P302" s="86" t="str">
        <f t="shared" si="265"/>
        <v>96,0576923076923</v>
      </c>
      <c r="Q302" s="4" t="str">
        <f t="shared" si="266"/>
        <v>1+58,0244567150877i</v>
      </c>
      <c r="R302" s="4">
        <f t="shared" si="277"/>
        <v>58.0330731314574</v>
      </c>
      <c r="S302" s="4">
        <f t="shared" si="278"/>
        <v>1.55356392050672</v>
      </c>
      <c r="T302" s="4" t="str">
        <f t="shared" si="267"/>
        <v>1+0,681594263631849i</v>
      </c>
      <c r="U302" s="4">
        <f t="shared" si="279"/>
        <v>1.21019450511719</v>
      </c>
      <c r="V302" s="4">
        <f t="shared" si="280"/>
        <v>0.598266019433879</v>
      </c>
      <c r="W302" t="str">
        <f t="shared" si="268"/>
        <v>1-0,323602718702763i</v>
      </c>
      <c r="X302" s="4">
        <f t="shared" si="281"/>
        <v>1.05105600210066</v>
      </c>
      <c r="Y302" s="4">
        <f t="shared" si="282"/>
        <v>-0.312967587317273</v>
      </c>
      <c r="Z302" t="str">
        <f t="shared" si="269"/>
        <v>0,999609281557288+0,554716622948933i</v>
      </c>
      <c r="AA302" s="4">
        <f t="shared" si="283"/>
        <v>1.14321006274059</v>
      </c>
      <c r="AB302" s="4">
        <f t="shared" si="284"/>
        <v>0.506622992996248</v>
      </c>
      <c r="AC302" s="67" t="str">
        <f t="shared" si="285"/>
        <v>-0,373266228925895-1,80344586157675i</v>
      </c>
      <c r="AD302" s="68">
        <f t="shared" si="286"/>
        <v>5.30423149056585</v>
      </c>
      <c r="AE302" s="31">
        <f t="shared" si="287"/>
        <v>-101.693619089823</v>
      </c>
      <c r="AF302" s="32" t="str">
        <f t="shared" si="288"/>
        <v>236,914774604583</v>
      </c>
      <c r="AG302" s="32" t="str">
        <f t="shared" si="270"/>
        <v>1+14,3289703149877i</v>
      </c>
      <c r="AH302" s="32">
        <f t="shared" si="289"/>
        <v>14.3638222729119</v>
      </c>
      <c r="AI302" s="32">
        <f t="shared" si="290"/>
        <v>1.50112061255847</v>
      </c>
      <c r="AJ302" s="32" t="str">
        <f t="shared" si="271"/>
        <v>1+0,681594263631849i</v>
      </c>
      <c r="AK302" s="32">
        <f t="shared" si="291"/>
        <v>1.21019450511719</v>
      </c>
      <c r="AL302" s="32">
        <f t="shared" si="292"/>
        <v>0.598266019433879</v>
      </c>
      <c r="AM302" s="32" t="str">
        <f t="shared" si="272"/>
        <v>1-0,0323998959726771i</v>
      </c>
      <c r="AN302" s="32">
        <f t="shared" si="293"/>
        <v>1.00052473895404</v>
      </c>
      <c r="AO302" s="32">
        <f t="shared" si="294"/>
        <v>-0.0323885658093503</v>
      </c>
      <c r="AP302" s="30" t="str">
        <f t="shared" si="295"/>
        <v>11,8553854016307-16,0717282041675i</v>
      </c>
      <c r="AQ302" s="32">
        <f t="shared" si="296"/>
        <v>26.0081026112879</v>
      </c>
      <c r="AR302" s="31">
        <f t="shared" si="297"/>
        <v>-53.5854858253978</v>
      </c>
      <c r="AS302" t="str">
        <f t="shared" si="273"/>
        <v>-0,000272527472527473</v>
      </c>
      <c r="AT302" t="str">
        <f t="shared" si="274"/>
        <v>0,00976748922436713i</v>
      </c>
      <c r="AU302">
        <f t="shared" si="298"/>
        <v>0.00976748922436713</v>
      </c>
      <c r="AV302">
        <f t="shared" si="299"/>
        <v>1.5707963267949</v>
      </c>
      <c r="AW302" t="str">
        <f t="shared" si="275"/>
        <v>1+0,500077532937434i</v>
      </c>
      <c r="AX302">
        <f t="shared" si="300"/>
        <v>1.11806866468424</v>
      </c>
      <c r="AY302">
        <f t="shared" si="301"/>
        <v>0.463709633427099</v>
      </c>
      <c r="AZ302" t="str">
        <f t="shared" si="276"/>
        <v>1+23,907962053413i</v>
      </c>
      <c r="BA302">
        <f t="shared" si="302"/>
        <v>23.9288664492791</v>
      </c>
      <c r="BB302">
        <f t="shared" si="303"/>
        <v>1.52899362352682</v>
      </c>
      <c r="BC302" s="30" t="str">
        <f t="shared" si="304"/>
        <v>-0,522459417665669+0,2891717035347i</v>
      </c>
      <c r="BD302" s="32">
        <f t="shared" si="305"/>
        <v>-4.47838004828101</v>
      </c>
      <c r="BE302" s="31">
        <f t="shared" si="306"/>
        <v>151.03627661557</v>
      </c>
      <c r="BF302" s="30" t="str">
        <f t="shared" si="307"/>
        <v>0,716521968623637+0,834289243340475i</v>
      </c>
      <c r="BG302" s="68">
        <f t="shared" si="308"/>
        <v>0.825851442284845</v>
      </c>
      <c r="BH302" s="31">
        <f t="shared" si="309"/>
        <v>49.3426575257474</v>
      </c>
      <c r="BI302" s="30" t="str">
        <f t="shared" si="263"/>
        <v>-1,54646872959225+11,8250677510802i</v>
      </c>
      <c r="BJ302" s="68">
        <f t="shared" si="310"/>
        <v>21.5297225630068</v>
      </c>
      <c r="BK302" s="31">
        <f t="shared" si="264"/>
        <v>97.4507907901724</v>
      </c>
      <c r="BL302" s="32">
        <f t="shared" si="311"/>
        <v>0.825851442284845</v>
      </c>
      <c r="BM302" s="31">
        <f t="shared" si="312"/>
        <v>49.3426575257474</v>
      </c>
      <c r="BO302">
        <f t="shared" si="313"/>
        <v>0</v>
      </c>
      <c r="BP302">
        <f t="shared" si="314"/>
        <v>0</v>
      </c>
    </row>
    <row r="303" spans="14:68">
      <c r="N303" s="7">
        <v>85</v>
      </c>
      <c r="O303" s="18">
        <f t="shared" si="315"/>
        <v>7079.45784384138</v>
      </c>
      <c r="P303" s="86" t="str">
        <f t="shared" si="265"/>
        <v>96,0576923076923</v>
      </c>
      <c r="Q303" s="4" t="str">
        <f t="shared" si="266"/>
        <v>1+59,3760199374472i</v>
      </c>
      <c r="R303" s="4">
        <f t="shared" si="277"/>
        <v>59.3844402483692</v>
      </c>
      <c r="S303" s="4">
        <f t="shared" si="278"/>
        <v>1.55395610294325</v>
      </c>
      <c r="T303" s="4" t="str">
        <f t="shared" si="267"/>
        <v>1+0,697470633553232i</v>
      </c>
      <c r="U303" s="4">
        <f t="shared" si="279"/>
        <v>1.21920682604271</v>
      </c>
      <c r="V303" s="4">
        <f t="shared" si="280"/>
        <v>0.609026385051883</v>
      </c>
      <c r="W303" t="str">
        <f t="shared" si="268"/>
        <v>1-0,331140394331538i</v>
      </c>
      <c r="X303" s="4">
        <f t="shared" si="281"/>
        <v>1.0534011395276</v>
      </c>
      <c r="Y303" s="4">
        <f t="shared" si="282"/>
        <v>-0.319775612582947</v>
      </c>
      <c r="Z303" t="str">
        <f t="shared" si="269"/>
        <v>0,999590867564386+0,567637632965288i</v>
      </c>
      <c r="AA303" s="4">
        <f t="shared" si="283"/>
        <v>1.14951919726317</v>
      </c>
      <c r="AB303" s="4">
        <f t="shared" si="284"/>
        <v>0.516459361807918</v>
      </c>
      <c r="AC303" s="67" t="str">
        <f t="shared" si="285"/>
        <v>-0,377386919979588-1,76739196437428i</v>
      </c>
      <c r="AD303" s="68">
        <f t="shared" si="286"/>
        <v>5.1402884511359</v>
      </c>
      <c r="AE303" s="31">
        <f t="shared" si="287"/>
        <v>-102.05321948549</v>
      </c>
      <c r="AF303" s="32" t="str">
        <f t="shared" si="288"/>
        <v>236,914774604583</v>
      </c>
      <c r="AG303" s="32" t="str">
        <f t="shared" si="270"/>
        <v>1+14,6627349099259i</v>
      </c>
      <c r="AH303" s="32">
        <f t="shared" si="289"/>
        <v>14.6967954003163</v>
      </c>
      <c r="AI303" s="32">
        <f t="shared" si="290"/>
        <v>1.50270167046218</v>
      </c>
      <c r="AJ303" s="32" t="str">
        <f t="shared" si="271"/>
        <v>1+0,697470633553232i</v>
      </c>
      <c r="AK303" s="32">
        <f t="shared" si="291"/>
        <v>1.21920682604271</v>
      </c>
      <c r="AL303" s="32">
        <f t="shared" si="292"/>
        <v>0.609026385051883</v>
      </c>
      <c r="AM303" s="32" t="str">
        <f t="shared" si="272"/>
        <v>1-0,0331545864994659i</v>
      </c>
      <c r="AN303" s="32">
        <f t="shared" si="293"/>
        <v>1.00054946234854</v>
      </c>
      <c r="AO303" s="32">
        <f t="shared" si="294"/>
        <v>-0.0331424463707822</v>
      </c>
      <c r="AP303" s="30" t="str">
        <f t="shared" si="295"/>
        <v>11,806279250113-15,7260563630149i</v>
      </c>
      <c r="AQ303" s="32">
        <f t="shared" si="296"/>
        <v>25.8737089094662</v>
      </c>
      <c r="AR303" s="31">
        <f t="shared" si="297"/>
        <v>-53.102744408944</v>
      </c>
      <c r="AS303" t="str">
        <f t="shared" si="273"/>
        <v>-0,000272527472527473</v>
      </c>
      <c r="AT303" t="str">
        <f t="shared" si="274"/>
        <v>0,00999500327547266i</v>
      </c>
      <c r="AU303">
        <f t="shared" si="298"/>
        <v>0.00999500327547266</v>
      </c>
      <c r="AV303">
        <f t="shared" si="299"/>
        <v>1.5707963267949</v>
      </c>
      <c r="AW303" t="str">
        <f t="shared" si="275"/>
        <v>1+0,511725835051924i</v>
      </c>
      <c r="AX303">
        <f t="shared" si="300"/>
        <v>1.12332690266885</v>
      </c>
      <c r="AY303">
        <f t="shared" si="301"/>
        <v>0.472984212673194</v>
      </c>
      <c r="AZ303" t="str">
        <f t="shared" si="276"/>
        <v>1+24,4648500289717i</v>
      </c>
      <c r="BA303">
        <f t="shared" si="302"/>
        <v>24.4852789843219</v>
      </c>
      <c r="BB303">
        <f t="shared" si="303"/>
        <v>1.52994409858194</v>
      </c>
      <c r="BC303" s="30" t="str">
        <f t="shared" si="304"/>
        <v>-0,51757965175338+0,292125251006858i</v>
      </c>
      <c r="BD303" s="32">
        <f t="shared" si="305"/>
        <v>-4.51947511051487</v>
      </c>
      <c r="BE303" s="31">
        <f t="shared" si="306"/>
        <v>150.5593405772</v>
      </c>
      <c r="BF303" s="30" t="str">
        <f t="shared" si="307"/>
        <v>0,711627611839656+0,80452186870682i</v>
      </c>
      <c r="BG303" s="68">
        <f t="shared" si="308"/>
        <v>0.620813340621028</v>
      </c>
      <c r="BH303" s="31">
        <f t="shared" si="309"/>
        <v>48.5061210917104</v>
      </c>
      <c r="BI303" s="30" t="str">
        <f t="shared" si="263"/>
        <v>-1,51671174038292+11,5883990652196i</v>
      </c>
      <c r="BJ303" s="68">
        <f t="shared" si="310"/>
        <v>21.3542337989514</v>
      </c>
      <c r="BK303" s="31">
        <f t="shared" si="264"/>
        <v>97.4565961682563</v>
      </c>
      <c r="BL303" s="32">
        <f t="shared" si="311"/>
        <v>0.620813340621028</v>
      </c>
      <c r="BM303" s="31">
        <f t="shared" si="312"/>
        <v>48.5061210917104</v>
      </c>
      <c r="BO303">
        <f t="shared" si="313"/>
        <v>0</v>
      </c>
      <c r="BP303">
        <f t="shared" si="314"/>
        <v>0</v>
      </c>
    </row>
    <row r="304" spans="14:68">
      <c r="N304" s="7">
        <v>86</v>
      </c>
      <c r="O304" s="18">
        <f t="shared" si="315"/>
        <v>7244.3596007499</v>
      </c>
      <c r="P304" s="86" t="str">
        <f t="shared" si="265"/>
        <v>96,0576923076923</v>
      </c>
      <c r="Q304" s="4" t="str">
        <f t="shared" si="266"/>
        <v>1+60,759065111512i</v>
      </c>
      <c r="R304" s="4">
        <f t="shared" si="277"/>
        <v>60.7672937790137</v>
      </c>
      <c r="S304" s="4">
        <f t="shared" si="278"/>
        <v>1.55433936322381</v>
      </c>
      <c r="T304" s="4" t="str">
        <f t="shared" si="267"/>
        <v>1+0,71371681163664i</v>
      </c>
      <c r="U304" s="4">
        <f t="shared" si="279"/>
        <v>1.22857302884801</v>
      </c>
      <c r="V304" s="4">
        <f t="shared" si="280"/>
        <v>0.61987267880287</v>
      </c>
      <c r="W304" t="str">
        <f t="shared" si="268"/>
        <v>1-0,338853644980548i</v>
      </c>
      <c r="X304" s="4">
        <f t="shared" si="281"/>
        <v>1.05585121713081</v>
      </c>
      <c r="Y304" s="4">
        <f t="shared" si="282"/>
        <v>-0.326710579870183</v>
      </c>
      <c r="Z304" t="str">
        <f t="shared" si="269"/>
        <v>0,999571585746735+0,580859611968214i</v>
      </c>
      <c r="AA304" s="4">
        <f t="shared" si="283"/>
        <v>1.15608876988236</v>
      </c>
      <c r="AB304" s="4">
        <f t="shared" si="284"/>
        <v>0.526412911936582</v>
      </c>
      <c r="AC304" s="67" t="str">
        <f t="shared" si="285"/>
        <v>-0,381517480211527-1,73215991197831i</v>
      </c>
      <c r="AD304" s="68">
        <f t="shared" si="286"/>
        <v>4.97749544771597</v>
      </c>
      <c r="AE304" s="31">
        <f t="shared" si="287"/>
        <v>-102.421372596895</v>
      </c>
      <c r="AF304" s="32" t="str">
        <f t="shared" si="288"/>
        <v>236,914774604583</v>
      </c>
      <c r="AG304" s="32" t="str">
        <f t="shared" si="270"/>
        <v>1+15,0042738809975i</v>
      </c>
      <c r="AH304" s="32">
        <f t="shared" si="289"/>
        <v>15.037560796086</v>
      </c>
      <c r="AI304" s="32">
        <f t="shared" si="290"/>
        <v>1.50424706863408</v>
      </c>
      <c r="AJ304" s="32" t="str">
        <f t="shared" si="271"/>
        <v>1+0,71371681163664i</v>
      </c>
      <c r="AK304" s="32">
        <f t="shared" si="291"/>
        <v>1.22857302884801</v>
      </c>
      <c r="AL304" s="32">
        <f t="shared" si="292"/>
        <v>0.61987267880287</v>
      </c>
      <c r="AM304" s="32" t="str">
        <f t="shared" si="272"/>
        <v>1-0,0339268560268695i</v>
      </c>
      <c r="AN304" s="32">
        <f t="shared" si="293"/>
        <v>1.00057535026597</v>
      </c>
      <c r="AO304" s="32">
        <f t="shared" si="294"/>
        <v>-0.0339138480485732</v>
      </c>
      <c r="AP304" s="30" t="str">
        <f t="shared" si="295"/>
        <v>11,7593632311814-15,3884224750287i</v>
      </c>
      <c r="AQ304" s="32">
        <f t="shared" si="296"/>
        <v>25.7413105119779</v>
      </c>
      <c r="AR304" s="31">
        <f t="shared" si="297"/>
        <v>-52.6140404070169</v>
      </c>
      <c r="AS304" t="str">
        <f t="shared" si="273"/>
        <v>-0,000272527472527473</v>
      </c>
      <c r="AT304" t="str">
        <f t="shared" si="274"/>
        <v>0,0102278168096144i</v>
      </c>
      <c r="AU304">
        <f t="shared" si="298"/>
        <v>0.0102278168096144</v>
      </c>
      <c r="AV304">
        <f t="shared" si="299"/>
        <v>1.5707963267949</v>
      </c>
      <c r="AW304" t="str">
        <f t="shared" si="275"/>
        <v>1+0,523645460977651i</v>
      </c>
      <c r="AX304">
        <f t="shared" si="300"/>
        <v>1.12880670125691</v>
      </c>
      <c r="AY304">
        <f t="shared" si="301"/>
        <v>0.482384546645558</v>
      </c>
      <c r="AZ304" t="str">
        <f t="shared" si="276"/>
        <v>1+25,0347095918464i</v>
      </c>
      <c r="BA304">
        <f t="shared" si="302"/>
        <v>25.05467390225</v>
      </c>
      <c r="BB304">
        <f t="shared" si="303"/>
        <v>1.53087300955206</v>
      </c>
      <c r="BC304" s="30" t="str">
        <f t="shared" si="304"/>
        <v>-0,512566662392302+0,295048919327707i</v>
      </c>
      <c r="BD304" s="32">
        <f t="shared" si="305"/>
        <v>-4.56206953346341</v>
      </c>
      <c r="BE304" s="31">
        <f t="shared" si="306"/>
        <v>150.073963792701</v>
      </c>
      <c r="BF304" s="30" t="str">
        <f t="shared" si="307"/>
        <v>0,70662505160832+0,775281104571425i</v>
      </c>
      <c r="BG304" s="68">
        <f t="shared" si="308"/>
        <v>0.415425914252562</v>
      </c>
      <c r="BH304" s="31">
        <f t="shared" si="309"/>
        <v>47.6525911958067</v>
      </c>
      <c r="BI304" s="30" t="str">
        <f t="shared" si="263"/>
        <v>-1,48712014184999+11,3571797608502i</v>
      </c>
      <c r="BJ304" s="68">
        <f t="shared" si="310"/>
        <v>21.1792409785145</v>
      </c>
      <c r="BK304" s="31">
        <f t="shared" si="264"/>
        <v>97.4599233856845</v>
      </c>
      <c r="BL304" s="32">
        <f t="shared" si="311"/>
        <v>0.415425914252562</v>
      </c>
      <c r="BM304" s="31">
        <f t="shared" si="312"/>
        <v>47.6525911958067</v>
      </c>
      <c r="BO304">
        <f t="shared" si="313"/>
        <v>0</v>
      </c>
      <c r="BP304">
        <f t="shared" si="314"/>
        <v>0</v>
      </c>
    </row>
    <row r="305" spans="14:68">
      <c r="N305" s="7">
        <v>87</v>
      </c>
      <c r="O305" s="18">
        <f t="shared" si="315"/>
        <v>7413.10241300918</v>
      </c>
      <c r="P305" s="86" t="str">
        <f t="shared" si="265"/>
        <v>96,0576923076923</v>
      </c>
      <c r="Q305" s="4" t="str">
        <f t="shared" si="266"/>
        <v>1+62,1743255461404i</v>
      </c>
      <c r="R305" s="4">
        <f t="shared" si="277"/>
        <v>62.1823669308064</v>
      </c>
      <c r="S305" s="4">
        <f t="shared" si="278"/>
        <v>1.55471390410745</v>
      </c>
      <c r="T305" s="4" t="str">
        <f t="shared" si="267"/>
        <v>1+0,730341411820737i</v>
      </c>
      <c r="U305" s="4">
        <f t="shared" si="279"/>
        <v>1.23830471929179</v>
      </c>
      <c r="V305" s="4">
        <f t="shared" si="280"/>
        <v>0.630800443831653</v>
      </c>
      <c r="W305" t="str">
        <f t="shared" si="268"/>
        <v>1-0,346746560317386i</v>
      </c>
      <c r="X305" s="4">
        <f t="shared" si="281"/>
        <v>1.05841068451331</v>
      </c>
      <c r="Y305" s="4">
        <f t="shared" si="282"/>
        <v>-0.333773497069739</v>
      </c>
      <c r="Z305" t="str">
        <f t="shared" si="269"/>
        <v>0,999551395205014+0,594389570425992i</v>
      </c>
      <c r="AA305" s="4">
        <f t="shared" si="283"/>
        <v>1.16292818053717</v>
      </c>
      <c r="AB305" s="4">
        <f t="shared" si="284"/>
        <v>0.536481071118897</v>
      </c>
      <c r="AC305" s="67" t="str">
        <f t="shared" si="285"/>
        <v>-0,385659790583769-1,69772713306432i</v>
      </c>
      <c r="AD305" s="68">
        <f t="shared" si="286"/>
        <v>4.81587497076176</v>
      </c>
      <c r="AE305" s="31">
        <f t="shared" si="287"/>
        <v>-102.79825576832</v>
      </c>
      <c r="AF305" s="32" t="str">
        <f t="shared" si="288"/>
        <v>236,914774604583</v>
      </c>
      <c r="AG305" s="32" t="str">
        <f t="shared" si="270"/>
        <v>1+15,3537683166859i</v>
      </c>
      <c r="AH305" s="32">
        <f t="shared" si="289"/>
        <v>15.3862991496483</v>
      </c>
      <c r="AI305" s="32">
        <f t="shared" si="290"/>
        <v>1.50575759692167</v>
      </c>
      <c r="AJ305" s="32" t="str">
        <f t="shared" si="271"/>
        <v>1+0,730341411820737i</v>
      </c>
      <c r="AK305" s="32">
        <f t="shared" si="291"/>
        <v>1.23830471929179</v>
      </c>
      <c r="AL305" s="32">
        <f t="shared" si="292"/>
        <v>0.630800443831653</v>
      </c>
      <c r="AM305" s="32" t="str">
        <f t="shared" si="272"/>
        <v>1-0,0347171140224137i</v>
      </c>
      <c r="AN305" s="32">
        <f t="shared" si="293"/>
        <v>1.00060245752549</v>
      </c>
      <c r="AO305" s="32">
        <f t="shared" si="294"/>
        <v>-0.0347031761757593</v>
      </c>
      <c r="AP305" s="30" t="str">
        <f t="shared" si="295"/>
        <v>11,714540521726-15,0586673846485i</v>
      </c>
      <c r="AQ305" s="32">
        <f t="shared" si="296"/>
        <v>25.6109413306201</v>
      </c>
      <c r="AR305" s="31">
        <f t="shared" si="297"/>
        <v>-52.1196976574097</v>
      </c>
      <c r="AS305" t="str">
        <f t="shared" si="273"/>
        <v>-0,000272527472527473</v>
      </c>
      <c r="AT305" t="str">
        <f t="shared" si="274"/>
        <v>0,0104660532676097i</v>
      </c>
      <c r="AU305">
        <f t="shared" si="298"/>
        <v>0.0104660532676097</v>
      </c>
      <c r="AV305">
        <f t="shared" si="299"/>
        <v>1.5707963267949</v>
      </c>
      <c r="AW305" t="str">
        <f t="shared" si="275"/>
        <v>1+0,535842730658056i</v>
      </c>
      <c r="AX305">
        <f t="shared" si="300"/>
        <v>1.13451638683585</v>
      </c>
      <c r="AY305">
        <f t="shared" si="301"/>
        <v>0.491908973265042</v>
      </c>
      <c r="AZ305" t="str">
        <f t="shared" si="276"/>
        <v>1+25,6178428891202i</v>
      </c>
      <c r="BA305">
        <f t="shared" si="302"/>
        <v>25.6373531061934</v>
      </c>
      <c r="BB305">
        <f t="shared" si="303"/>
        <v>1.53178084254212</v>
      </c>
      <c r="BC305" s="30" t="str">
        <f t="shared" si="304"/>
        <v>-0,507420451774339+0,29793674310785i</v>
      </c>
      <c r="BD305" s="32">
        <f t="shared" si="305"/>
        <v>-4.6062048085371</v>
      </c>
      <c r="BE305" s="31">
        <f t="shared" si="306"/>
        <v>149.580269343956</v>
      </c>
      <c r="BF305" s="30" t="str">
        <f t="shared" si="307"/>
        <v>0,701506957880224+0,746559246894867i</v>
      </c>
      <c r="BG305" s="68">
        <f t="shared" si="308"/>
        <v>0.209670162224655</v>
      </c>
      <c r="BH305" s="31">
        <f t="shared" si="309"/>
        <v>46.7820135756369</v>
      </c>
      <c r="BI305" s="30" t="str">
        <f t="shared" si="263"/>
        <v>-1,45766712773643+11,1312678574858i</v>
      </c>
      <c r="BJ305" s="68">
        <f t="shared" si="310"/>
        <v>21.0047365220829</v>
      </c>
      <c r="BK305" s="31">
        <f t="shared" si="264"/>
        <v>97.4605716865468</v>
      </c>
      <c r="BL305" s="32">
        <f t="shared" si="311"/>
        <v>0.209670162224655</v>
      </c>
      <c r="BM305" s="31">
        <f t="shared" si="312"/>
        <v>46.7820135756369</v>
      </c>
      <c r="BO305">
        <f t="shared" si="313"/>
        <v>0</v>
      </c>
      <c r="BP305">
        <f t="shared" si="314"/>
        <v>0</v>
      </c>
    </row>
    <row r="306" spans="14:68">
      <c r="N306" s="7">
        <v>88</v>
      </c>
      <c r="O306" s="18">
        <f t="shared" si="315"/>
        <v>7585.77575029184</v>
      </c>
      <c r="P306" s="86" t="str">
        <f t="shared" si="265"/>
        <v>96,0576923076923</v>
      </c>
      <c r="Q306" s="4" t="str">
        <f t="shared" si="266"/>
        <v>1+63,6225516311477i</v>
      </c>
      <c r="R306" s="4">
        <f t="shared" si="277"/>
        <v>63.6304099944206</v>
      </c>
      <c r="S306" s="4">
        <f t="shared" si="278"/>
        <v>1.55507992376012</v>
      </c>
      <c r="T306" s="4" t="str">
        <f t="shared" si="267"/>
        <v>1+0,747353248688593i</v>
      </c>
      <c r="U306" s="4">
        <f t="shared" si="279"/>
        <v>1.24841374484799</v>
      </c>
      <c r="V306" s="4">
        <f t="shared" si="280"/>
        <v>0.641805034816976</v>
      </c>
      <c r="W306" t="str">
        <f t="shared" si="268"/>
        <v>1-0,354823325270237i</v>
      </c>
      <c r="X306" s="4">
        <f t="shared" si="281"/>
        <v>1.0610841588469</v>
      </c>
      <c r="Y306" s="4">
        <f t="shared" si="282"/>
        <v>-0.34096528946032</v>
      </c>
      <c r="Z306" t="str">
        <f t="shared" si="269"/>
        <v>0,999530253112378+0,608234682101686i</v>
      </c>
      <c r="AA306" s="4">
        <f t="shared" si="283"/>
        <v>1.17004707400952</v>
      </c>
      <c r="AB306" s="4">
        <f t="shared" si="284"/>
        <v>0.54666105414154</v>
      </c>
      <c r="AC306" s="67" t="str">
        <f t="shared" si="285"/>
        <v>-0,38981543586157-1,66407147420678i</v>
      </c>
      <c r="AD306" s="68">
        <f t="shared" si="286"/>
        <v>4.65544929841774</v>
      </c>
      <c r="AE306" s="31">
        <f t="shared" si="287"/>
        <v>-103.184039944737</v>
      </c>
      <c r="AF306" s="32" t="str">
        <f t="shared" si="288"/>
        <v>236,914774604583</v>
      </c>
      <c r="AG306" s="32" t="str">
        <f t="shared" si="270"/>
        <v>1+15,711403523567i</v>
      </c>
      <c r="AH306" s="32">
        <f t="shared" si="289"/>
        <v>15.7431953770622</v>
      </c>
      <c r="AI306" s="32">
        <f t="shared" si="290"/>
        <v>1.50723402863899</v>
      </c>
      <c r="AJ306" s="32" t="str">
        <f t="shared" si="271"/>
        <v>1+0,747353248688593i</v>
      </c>
      <c r="AK306" s="32">
        <f t="shared" si="291"/>
        <v>1.24841374484799</v>
      </c>
      <c r="AL306" s="32">
        <f t="shared" si="292"/>
        <v>0.641805034816976</v>
      </c>
      <c r="AM306" s="32" t="str">
        <f t="shared" si="272"/>
        <v>1-0,0355257794913479i</v>
      </c>
      <c r="AN306" s="32">
        <f t="shared" si="293"/>
        <v>1.00063084152372</v>
      </c>
      <c r="AO306" s="32">
        <f t="shared" si="294"/>
        <v>-0.0355108453280564</v>
      </c>
      <c r="AP306" s="30" t="str">
        <f t="shared" si="295"/>
        <v>11,671718503959-14,7366348069671i</v>
      </c>
      <c r="AQ306" s="32">
        <f t="shared" si="296"/>
        <v>25.4826337246171</v>
      </c>
      <c r="AR306" s="31">
        <f t="shared" si="297"/>
        <v>-51.620050378494</v>
      </c>
      <c r="AS306" t="str">
        <f t="shared" si="273"/>
        <v>-0,000272527472527473</v>
      </c>
      <c r="AT306" t="str">
        <f t="shared" si="274"/>
        <v>0,0107098389655821i</v>
      </c>
      <c r="AU306">
        <f t="shared" si="298"/>
        <v>0.0107098389655821</v>
      </c>
      <c r="AV306">
        <f t="shared" si="299"/>
        <v>1.5707963267949</v>
      </c>
      <c r="AW306" t="str">
        <f t="shared" si="275"/>
        <v>1+0,548324111246972i</v>
      </c>
      <c r="AX306">
        <f t="shared" si="300"/>
        <v>1.14046452420704</v>
      </c>
      <c r="AY306">
        <f t="shared" si="301"/>
        <v>0.501555629629931</v>
      </c>
      <c r="AZ306" t="str">
        <f t="shared" si="276"/>
        <v>1+26,2145591057861i</v>
      </c>
      <c r="BA306">
        <f t="shared" si="302"/>
        <v>26.2336255426266</v>
      </c>
      <c r="BB306">
        <f t="shared" si="303"/>
        <v>1.53266807290819</v>
      </c>
      <c r="BC306" s="30" t="str">
        <f t="shared" si="304"/>
        <v>-0,502141312088723+0,300782647147919i</v>
      </c>
      <c r="BD306" s="32">
        <f t="shared" si="305"/>
        <v>-4.65192235166693</v>
      </c>
      <c r="BE306" s="31">
        <f t="shared" si="306"/>
        <v>149.078391203266</v>
      </c>
      <c r="BF306" s="30" t="str">
        <f t="shared" si="307"/>
        <v>0,696266257491222+0,718349314770045i</v>
      </c>
      <c r="BG306" s="68">
        <f t="shared" si="308"/>
        <v>0.00352694675080745</v>
      </c>
      <c r="BH306" s="31">
        <f t="shared" si="309"/>
        <v>45.8943512585297</v>
      </c>
      <c r="BI306" s="30" t="str">
        <f t="shared" ref="BI306:BI369" si="316">IMPRODUCT(AP306,BC306)</f>
        <v>-1,42832801661647+10,9105235261289i</v>
      </c>
      <c r="BJ306" s="68">
        <f t="shared" si="310"/>
        <v>20.8307113729501</v>
      </c>
      <c r="BK306" s="31">
        <f t="shared" ref="BK306:BK369" si="317">(180/PI())*IMARGUMENT(BI306)</f>
        <v>97.4583408247724</v>
      </c>
      <c r="BL306" s="32">
        <f t="shared" si="311"/>
        <v>0.00352694675080745</v>
      </c>
      <c r="BM306" s="31">
        <f t="shared" si="312"/>
        <v>45.8943512585297</v>
      </c>
      <c r="BO306">
        <f t="shared" si="313"/>
        <v>7585.77575029184</v>
      </c>
      <c r="BP306">
        <f t="shared" si="314"/>
        <v>45.8943512585297</v>
      </c>
    </row>
    <row r="307" spans="14:68">
      <c r="N307" s="7">
        <v>89</v>
      </c>
      <c r="O307" s="18">
        <f t="shared" si="315"/>
        <v>7762.47116628693</v>
      </c>
      <c r="P307" s="86" t="str">
        <f t="shared" si="265"/>
        <v>96,0576923076923</v>
      </c>
      <c r="Q307" s="4" t="str">
        <f t="shared" si="266"/>
        <v>1+65,104511235174i</v>
      </c>
      <c r="R307" s="4">
        <f t="shared" si="277"/>
        <v>65.112190741603</v>
      </c>
      <c r="S307" s="4">
        <f t="shared" si="278"/>
        <v>1.55543761585779</v>
      </c>
      <c r="T307" s="4" t="str">
        <f t="shared" si="267"/>
        <v>1+0,764761342141294i</v>
      </c>
      <c r="U307" s="4">
        <f t="shared" si="279"/>
        <v>1.25891219329775</v>
      </c>
      <c r="V307" s="4">
        <f t="shared" si="280"/>
        <v>0.652881625532901</v>
      </c>
      <c r="W307" t="str">
        <f t="shared" si="268"/>
        <v>1-0,363088222246788i</v>
      </c>
      <c r="X307" s="4">
        <f t="shared" si="281"/>
        <v>1.06387642944767</v>
      </c>
      <c r="Y307" s="4">
        <f t="shared" si="282"/>
        <v>-0.348286793501856</v>
      </c>
      <c r="Z307" t="str">
        <f t="shared" si="269"/>
        <v>0,999508114623613+0,622402287856767i</v>
      </c>
      <c r="AA307" s="4">
        <f t="shared" si="283"/>
        <v>1.17745534060863</v>
      </c>
      <c r="AB307" s="4">
        <f t="shared" si="284"/>
        <v>0.556949862003504</v>
      </c>
      <c r="AC307" s="67" t="str">
        <f t="shared" si="285"/>
        <v>-0,39398570507495-1,63117120200684i</v>
      </c>
      <c r="AD307" s="68">
        <f t="shared" si="286"/>
        <v>4.49624048710728</v>
      </c>
      <c r="AE307" s="31">
        <f t="shared" si="287"/>
        <v>-103.578888840861</v>
      </c>
      <c r="AF307" s="32" t="str">
        <f t="shared" si="288"/>
        <v>236,914774604583</v>
      </c>
      <c r="AG307" s="32" t="str">
        <f t="shared" si="270"/>
        <v>1+16,0773691245613i</v>
      </c>
      <c r="AH307" s="32">
        <f t="shared" si="289"/>
        <v>16.1084387191123</v>
      </c>
      <c r="AI307" s="32">
        <f t="shared" si="290"/>
        <v>1.50867712084796</v>
      </c>
      <c r="AJ307" s="32" t="str">
        <f t="shared" si="271"/>
        <v>1+0,764761342141294i</v>
      </c>
      <c r="AK307" s="32">
        <f t="shared" si="291"/>
        <v>1.25891219329775</v>
      </c>
      <c r="AL307" s="32">
        <f t="shared" si="292"/>
        <v>0.652881625532901</v>
      </c>
      <c r="AM307" s="32" t="str">
        <f t="shared" si="272"/>
        <v>1-0,0363532811988076i</v>
      </c>
      <c r="AN307" s="32">
        <f t="shared" si="293"/>
        <v>1.00066056235565</v>
      </c>
      <c r="AO307" s="32">
        <f t="shared" si="294"/>
        <v>-0.036337279525001</v>
      </c>
      <c r="AP307" s="30" t="str">
        <f t="shared" si="295"/>
        <v>11,6308085893687-14,4221713300484i</v>
      </c>
      <c r="AQ307" s="32">
        <f t="shared" si="296"/>
        <v>25.3564183968842</v>
      </c>
      <c r="AR307" s="31">
        <f t="shared" si="297"/>
        <v>-51.1154427636304</v>
      </c>
      <c r="AS307" t="str">
        <f t="shared" si="273"/>
        <v>-0,000272527472527473</v>
      </c>
      <c r="AT307" t="str">
        <f t="shared" si="274"/>
        <v>0,0109593031619355i</v>
      </c>
      <c r="AU307">
        <f t="shared" si="298"/>
        <v>0.0109593031619355</v>
      </c>
      <c r="AV307">
        <f t="shared" si="299"/>
        <v>1.5707963267949</v>
      </c>
      <c r="AW307" t="str">
        <f t="shared" si="275"/>
        <v>1+0,5610962205376i</v>
      </c>
      <c r="AX307">
        <f t="shared" si="300"/>
        <v>1.14665991850312</v>
      </c>
      <c r="AY307">
        <f t="shared" si="301"/>
        <v>0.511322448155377</v>
      </c>
      <c r="AZ307" t="str">
        <f t="shared" si="276"/>
        <v>1+26,8251746286805i</v>
      </c>
      <c r="BA307">
        <f t="shared" si="302"/>
        <v>26.8438073651858</v>
      </c>
      <c r="BB307">
        <f t="shared" si="303"/>
        <v>1.53353516548108</v>
      </c>
      <c r="BC307" s="30" t="str">
        <f t="shared" si="304"/>
        <v>-0,496729839836952+0,303580462125483i</v>
      </c>
      <c r="BD307" s="32">
        <f t="shared" si="305"/>
        <v>-4.69926341365713</v>
      </c>
      <c r="BE307" s="31">
        <f t="shared" si="306"/>
        <v>148.568474467363</v>
      </c>
      <c r="BF307" s="30" t="str">
        <f t="shared" si="307"/>
        <v>0,690896163490945+0,690645047502019i</v>
      </c>
      <c r="BG307" s="68">
        <f t="shared" si="308"/>
        <v>-0.203022926549851</v>
      </c>
      <c r="BH307" s="31">
        <f t="shared" si="309"/>
        <v>44.9895856265012</v>
      </c>
      <c r="BI307" s="30" t="str">
        <f t="shared" si="316"/>
        <v>-1,39908025054237+10,6948091013296i</v>
      </c>
      <c r="BJ307" s="68">
        <f t="shared" si="310"/>
        <v>20.657154983227</v>
      </c>
      <c r="BK307" s="31">
        <f t="shared" si="317"/>
        <v>97.4530317037321</v>
      </c>
      <c r="BL307" s="32">
        <f t="shared" si="311"/>
        <v>-0.203022926549851</v>
      </c>
      <c r="BM307" s="31">
        <f t="shared" si="312"/>
        <v>44.9895856265012</v>
      </c>
      <c r="BO307">
        <f t="shared" si="313"/>
        <v>0</v>
      </c>
      <c r="BP307">
        <f t="shared" si="314"/>
        <v>0</v>
      </c>
    </row>
    <row r="308" spans="14:68">
      <c r="N308" s="7">
        <v>90</v>
      </c>
      <c r="O308" s="18">
        <f t="shared" si="315"/>
        <v>7943.28234724282</v>
      </c>
      <c r="P308" s="86" t="str">
        <f t="shared" si="265"/>
        <v>96,0576923076923</v>
      </c>
      <c r="Q308" s="4" t="str">
        <f t="shared" si="266"/>
        <v>1+66,6209901128172i</v>
      </c>
      <c r="R308" s="4">
        <f t="shared" si="277"/>
        <v>66.6284948322569</v>
      </c>
      <c r="S308" s="4">
        <f t="shared" si="278"/>
        <v>1.55578716968721</v>
      </c>
      <c r="T308" s="4" t="str">
        <f t="shared" si="267"/>
        <v>1+0,78257492218041i</v>
      </c>
      <c r="U308" s="4">
        <f t="shared" si="279"/>
        <v>1.26981239119237</v>
      </c>
      <c r="V308" s="4">
        <f t="shared" si="280"/>
        <v>0.664025217387735</v>
      </c>
      <c r="W308" t="str">
        <f t="shared" si="268"/>
        <v>1-0,371545633404815i</v>
      </c>
      <c r="X308" s="4">
        <f t="shared" si="281"/>
        <v>1.06679246233847</v>
      </c>
      <c r="Y308" s="4">
        <f t="shared" si="282"/>
        <v>-0.355738750471069</v>
      </c>
      <c r="Z308" t="str">
        <f t="shared" si="269"/>
        <v>0,999484932780016+0,636899899543339i</v>
      </c>
      <c r="AA308" s="4">
        <f t="shared" si="283"/>
        <v>1.18516311657619</v>
      </c>
      <c r="AB308" s="4">
        <f t="shared" si="284"/>
        <v>0.567344281893137</v>
      </c>
      <c r="AC308" s="67" t="str">
        <f t="shared" si="285"/>
        <v>-0,398171592580099-1,59900500607019i</v>
      </c>
      <c r="AD308" s="68">
        <f t="shared" si="286"/>
        <v>4.33827036510456</v>
      </c>
      <c r="AE308" s="31">
        <f t="shared" si="287"/>
        <v>-103.982958091713</v>
      </c>
      <c r="AF308" s="32" t="str">
        <f t="shared" si="288"/>
        <v>236,914774604583</v>
      </c>
      <c r="AG308" s="32" t="str">
        <f t="shared" si="270"/>
        <v>1+16,4518591594745i</v>
      </c>
      <c r="AH308" s="32">
        <f t="shared" si="289"/>
        <v>16.4822228416917</v>
      </c>
      <c r="AI308" s="32">
        <f t="shared" si="290"/>
        <v>1.51008761463953</v>
      </c>
      <c r="AJ308" s="32" t="str">
        <f t="shared" si="271"/>
        <v>1+0,78257492218041i</v>
      </c>
      <c r="AK308" s="32">
        <f t="shared" si="291"/>
        <v>1.26981239119237</v>
      </c>
      <c r="AL308" s="32">
        <f t="shared" si="292"/>
        <v>0.664025217387735</v>
      </c>
      <c r="AM308" s="32" t="str">
        <f t="shared" si="272"/>
        <v>1-0,0372000578971515i</v>
      </c>
      <c r="AN308" s="32">
        <f t="shared" si="293"/>
        <v>1.00069168294113</v>
      </c>
      <c r="AO308" s="32">
        <f t="shared" si="294"/>
        <v>-0.0371829124347714</v>
      </c>
      <c r="AP308" s="30" t="str">
        <f t="shared" si="295"/>
        <v>11,5917260494578-14,115126413301i</v>
      </c>
      <c r="AQ308" s="32">
        <f t="shared" si="296"/>
        <v>25.232324293662</v>
      </c>
      <c r="AR308" s="31">
        <f t="shared" si="297"/>
        <v>-50.6062285197653</v>
      </c>
      <c r="AS308" t="str">
        <f t="shared" si="273"/>
        <v>-0,000272527472527473</v>
      </c>
      <c r="AT308" t="str">
        <f t="shared" si="274"/>
        <v>0,0112145781258889i</v>
      </c>
      <c r="AU308">
        <f t="shared" si="298"/>
        <v>0.0112145781258889</v>
      </c>
      <c r="AV308">
        <f t="shared" si="299"/>
        <v>1.5707963267949</v>
      </c>
      <c r="AW308" t="str">
        <f t="shared" si="275"/>
        <v>1+0,574165830471343i</v>
      </c>
      <c r="AX308">
        <f t="shared" si="300"/>
        <v>1.15311161683544</v>
      </c>
      <c r="AY308">
        <f t="shared" si="301"/>
        <v>0.521207153299462</v>
      </c>
      <c r="AZ308" t="str">
        <f t="shared" si="276"/>
        <v>1+27,4500132142363i</v>
      </c>
      <c r="BA308">
        <f t="shared" si="302"/>
        <v>27.4682221023085</v>
      </c>
      <c r="BB308">
        <f t="shared" si="303"/>
        <v>1.53438257478641</v>
      </c>
      <c r="BC308" s="30" t="str">
        <f t="shared" si="304"/>
        <v>-0,491186949300562+0,306323941847384i</v>
      </c>
      <c r="BD308" s="32">
        <f t="shared" si="305"/>
        <v>-4.74826898621967</v>
      </c>
      <c r="BE308" s="31">
        <f t="shared" si="306"/>
        <v>148.050675557591</v>
      </c>
      <c r="BF308" s="30" t="str">
        <f t="shared" si="307"/>
        <v>0,685390206350686+0,663440899077157i</v>
      </c>
      <c r="BG308" s="68">
        <f t="shared" si="308"/>
        <v>-0.409998621115111</v>
      </c>
      <c r="BH308" s="31">
        <f t="shared" si="309"/>
        <v>44.0677174658773</v>
      </c>
      <c r="BI308" s="30" t="str">
        <f t="shared" si="316"/>
        <v>-1,36990339276454+10,483989098226i</v>
      </c>
      <c r="BJ308" s="68">
        <f t="shared" si="310"/>
        <v>20.4840553074423</v>
      </c>
      <c r="BK308" s="31">
        <f t="shared" si="317"/>
        <v>97.4444470378253</v>
      </c>
      <c r="BL308" s="32">
        <f t="shared" si="311"/>
        <v>-0.409998621115111</v>
      </c>
      <c r="BM308" s="31">
        <f t="shared" si="312"/>
        <v>44.0677174658773</v>
      </c>
      <c r="BO308">
        <f t="shared" si="313"/>
        <v>0</v>
      </c>
      <c r="BP308">
        <f t="shared" si="314"/>
        <v>0</v>
      </c>
    </row>
    <row r="309" spans="14:68">
      <c r="N309" s="7">
        <v>91</v>
      </c>
      <c r="O309" s="18">
        <f t="shared" si="315"/>
        <v>8128.30516164101</v>
      </c>
      <c r="P309" s="86" t="str">
        <f t="shared" si="265"/>
        <v>96,0576923076923</v>
      </c>
      <c r="Q309" s="4" t="str">
        <f t="shared" si="266"/>
        <v>1+68,1727923212513i</v>
      </c>
      <c r="R309" s="4">
        <f t="shared" si="277"/>
        <v>68.18012623101</v>
      </c>
      <c r="S309" s="4">
        <f t="shared" si="278"/>
        <v>1.55612877024456</v>
      </c>
      <c r="T309" s="4" t="str">
        <f t="shared" si="267"/>
        <v>1+0,800803433801871i</v>
      </c>
      <c r="U309" s="4">
        <f t="shared" si="279"/>
        <v>1.28112690221885</v>
      </c>
      <c r="V309" s="4">
        <f t="shared" si="280"/>
        <v>0.675230648918746</v>
      </c>
      <c r="W309" t="str">
        <f t="shared" si="268"/>
        <v>1-0,380200042975662i</v>
      </c>
      <c r="X309" s="4">
        <f t="shared" si="281"/>
        <v>1.06983740478574</v>
      </c>
      <c r="Y309" s="4">
        <f t="shared" si="282"/>
        <v>-0.363321799955552</v>
      </c>
      <c r="Z309" t="str">
        <f t="shared" si="269"/>
        <v>0,99946065840979+0,651735203987016i</v>
      </c>
      <c r="AA309" s="4">
        <f t="shared" si="283"/>
        <v>1.1931807842171</v>
      </c>
      <c r="AB309" s="4">
        <f t="shared" si="284"/>
        <v>0.577840888022982</v>
      </c>
      <c r="AC309" s="67" t="str">
        <f t="shared" si="285"/>
        <v>-0,402373799816007-1,56755200277051i</v>
      </c>
      <c r="AD309" s="68">
        <f t="shared" si="286"/>
        <v>4.18156052913943</v>
      </c>
      <c r="AE309" s="31">
        <f t="shared" si="287"/>
        <v>-104.39639438933</v>
      </c>
      <c r="AF309" s="32" t="str">
        <f t="shared" si="288"/>
        <v>236,914774604583</v>
      </c>
      <c r="AG309" s="32" t="str">
        <f t="shared" si="270"/>
        <v>1+16,8350721878802i</v>
      </c>
      <c r="AH309" s="32">
        <f t="shared" si="289"/>
        <v>16.8647459385292</v>
      </c>
      <c r="AI309" s="32">
        <f t="shared" si="290"/>
        <v>1.51146623541415</v>
      </c>
      <c r="AJ309" s="32" t="str">
        <f t="shared" si="271"/>
        <v>1+0,800803433801871i</v>
      </c>
      <c r="AK309" s="32">
        <f t="shared" si="291"/>
        <v>1.28112690221885</v>
      </c>
      <c r="AL309" s="32">
        <f t="shared" si="292"/>
        <v>0.675230648918746</v>
      </c>
      <c r="AM309" s="32" t="str">
        <f t="shared" si="272"/>
        <v>1-0,0380665585585935i</v>
      </c>
      <c r="AN309" s="32">
        <f t="shared" si="293"/>
        <v>1.00072426915734</v>
      </c>
      <c r="AO309" s="32">
        <f t="shared" si="294"/>
        <v>-0.0380481875827047</v>
      </c>
      <c r="AP309" s="30" t="str">
        <f t="shared" si="295"/>
        <v>11,5543898530564-13,8153523822505i</v>
      </c>
      <c r="AQ309" s="32">
        <f t="shared" si="296"/>
        <v>25.1103785083059</v>
      </c>
      <c r="AR309" s="31">
        <f t="shared" si="297"/>
        <v>-50.0927703514451</v>
      </c>
      <c r="AS309" t="str">
        <f t="shared" si="273"/>
        <v>-0,000272527472527473</v>
      </c>
      <c r="AT309" t="str">
        <f t="shared" si="274"/>
        <v>0,0114757992076072i</v>
      </c>
      <c r="AU309">
        <f t="shared" si="298"/>
        <v>0.0114757992076072</v>
      </c>
      <c r="AV309">
        <f t="shared" si="299"/>
        <v>1.5707963267949</v>
      </c>
      <c r="AW309" t="str">
        <f t="shared" si="275"/>
        <v>1+0,587539870728385i</v>
      </c>
      <c r="AX309">
        <f t="shared" si="300"/>
        <v>1.15982890966536</v>
      </c>
      <c r="AY309">
        <f t="shared" si="301"/>
        <v>0.531207258930514</v>
      </c>
      <c r="AZ309" t="str">
        <f t="shared" si="276"/>
        <v>1+28,0894061601421i</v>
      </c>
      <c r="BA309">
        <f t="shared" si="302"/>
        <v>28.107200828781</v>
      </c>
      <c r="BB309">
        <f t="shared" si="303"/>
        <v>1.53521074526081</v>
      </c>
      <c r="BC309" s="30" t="str">
        <f t="shared" si="304"/>
        <v>-0,485513884991748+0,309006782038114i</v>
      </c>
      <c r="BD309" s="32">
        <f t="shared" si="305"/>
        <v>-4.79897970397848</v>
      </c>
      <c r="BE309" s="31">
        <f t="shared" si="306"/>
        <v>147.525162383147</v>
      </c>
      <c r="BF309" s="30" t="str">
        <f t="shared" si="307"/>
        <v>0,679742266821078+0,636732029734113i</v>
      </c>
      <c r="BG309" s="68">
        <f t="shared" si="308"/>
        <v>-0.617419174839045</v>
      </c>
      <c r="BH309" s="31">
        <f t="shared" si="309"/>
        <v>43.1287679938165</v>
      </c>
      <c r="BI309" s="30" t="str">
        <f t="shared" si="316"/>
        <v>-1,34077912390483+10,2779302345432i</v>
      </c>
      <c r="BJ309" s="68">
        <f t="shared" si="310"/>
        <v>20.3113988043274</v>
      </c>
      <c r="BK309" s="31">
        <f t="shared" si="317"/>
        <v>97.4323920317018</v>
      </c>
      <c r="BL309" s="32">
        <f t="shared" si="311"/>
        <v>-0.617419174839045</v>
      </c>
      <c r="BM309" s="31">
        <f t="shared" si="312"/>
        <v>43.1287679938165</v>
      </c>
      <c r="BO309">
        <f t="shared" si="313"/>
        <v>0</v>
      </c>
      <c r="BP309">
        <f t="shared" si="314"/>
        <v>0</v>
      </c>
    </row>
    <row r="310" spans="14:68">
      <c r="N310" s="7">
        <v>92</v>
      </c>
      <c r="O310" s="18">
        <f t="shared" si="315"/>
        <v>8317.63771102671</v>
      </c>
      <c r="P310" s="86" t="str">
        <f t="shared" si="265"/>
        <v>96,0576923076923</v>
      </c>
      <c r="Q310" s="4" t="str">
        <f t="shared" si="266"/>
        <v>1+69,7607406465475i</v>
      </c>
      <c r="R310" s="4">
        <f t="shared" si="277"/>
        <v>69.7679076334877</v>
      </c>
      <c r="S310" s="4">
        <f t="shared" si="278"/>
        <v>1.55646259833191</v>
      </c>
      <c r="T310" s="4" t="str">
        <f t="shared" si="267"/>
        <v>1+0,819456542003818i</v>
      </c>
      <c r="U310" s="4">
        <f t="shared" si="279"/>
        <v>1.29286852550167</v>
      </c>
      <c r="V310" s="4">
        <f t="shared" si="280"/>
        <v>0.686492606211644</v>
      </c>
      <c r="W310" t="str">
        <f t="shared" si="268"/>
        <v>1-0,389056039641836i</v>
      </c>
      <c r="X310" s="4">
        <f t="shared" si="281"/>
        <v>1.07301658979803</v>
      </c>
      <c r="Y310" s="4">
        <f t="shared" si="282"/>
        <v>-0.371036473225119</v>
      </c>
      <c r="Z310" t="str">
        <f t="shared" si="269"/>
        <v>0,99943524002374+0,66691606706258i</v>
      </c>
      <c r="AA310" s="4">
        <f t="shared" si="283"/>
        <v>1.20151897176346</v>
      </c>
      <c r="AB310" s="4">
        <f t="shared" si="284"/>
        <v>0.588436043360858</v>
      </c>
      <c r="AC310" s="67" t="str">
        <f t="shared" si="285"/>
        <v>-0,4065927378468-1,53679173972276i</v>
      </c>
      <c r="AD310" s="68">
        <f t="shared" si="286"/>
        <v>4.02613234402976</v>
      </c>
      <c r="AE310" s="31">
        <f t="shared" si="287"/>
        <v>-104.819334610693</v>
      </c>
      <c r="AF310" s="32" t="str">
        <f t="shared" si="288"/>
        <v>236,914774604583</v>
      </c>
      <c r="AG310" s="32" t="str">
        <f t="shared" si="270"/>
        <v>1+17,2272113943984i</v>
      </c>
      <c r="AH310" s="32">
        <f t="shared" si="289"/>
        <v>17.2562108363131</v>
      </c>
      <c r="AI310" s="32">
        <f t="shared" si="290"/>
        <v>1.51281369316138</v>
      </c>
      <c r="AJ310" s="32" t="str">
        <f t="shared" si="271"/>
        <v>1+0,819456542003818i</v>
      </c>
      <c r="AK310" s="32">
        <f t="shared" si="291"/>
        <v>1.29286852550167</v>
      </c>
      <c r="AL310" s="32">
        <f t="shared" si="292"/>
        <v>0.686492606211644</v>
      </c>
      <c r="AM310" s="32" t="str">
        <f t="shared" si="272"/>
        <v>1-0,0389532426132537i</v>
      </c>
      <c r="AN310" s="32">
        <f t="shared" si="293"/>
        <v>1.00075838997736</v>
      </c>
      <c r="AO310" s="32">
        <f t="shared" si="294"/>
        <v>-0.03893355856352</v>
      </c>
      <c r="AP310" s="30" t="str">
        <f t="shared" si="295"/>
        <v>11,5187225100053-13,5227044200269i</v>
      </c>
      <c r="AQ310" s="32">
        <f t="shared" si="296"/>
        <v>24.990606190005</v>
      </c>
      <c r="AR310" s="31">
        <f t="shared" si="297"/>
        <v>-49.5754393919974</v>
      </c>
      <c r="AS310" t="str">
        <f t="shared" si="273"/>
        <v>-0,000272527472527473</v>
      </c>
      <c r="AT310" t="str">
        <f t="shared" si="274"/>
        <v>0,0117431049099654i</v>
      </c>
      <c r="AU310">
        <f t="shared" si="298"/>
        <v>0.0117431049099654</v>
      </c>
      <c r="AV310">
        <f t="shared" si="299"/>
        <v>1.5707963267949</v>
      </c>
      <c r="AW310" t="str">
        <f t="shared" si="275"/>
        <v>1+0,601225432401895i</v>
      </c>
      <c r="AX310">
        <f t="shared" si="300"/>
        <v>1.1668213318957</v>
      </c>
      <c r="AY310">
        <f t="shared" si="301"/>
        <v>0.541320066388872</v>
      </c>
      <c r="AZ310" t="str">
        <f t="shared" si="276"/>
        <v>1+28,7436924810012i</v>
      </c>
      <c r="BA310">
        <f t="shared" si="302"/>
        <v>28.7610823412883</v>
      </c>
      <c r="BB310">
        <f t="shared" si="303"/>
        <v>1.53602011146452</v>
      </c>
      <c r="BC310" s="30" t="str">
        <f t="shared" si="304"/>
        <v>-0,479712232914047+0,311622640615996i</v>
      </c>
      <c r="BD310" s="32">
        <f t="shared" si="305"/>
        <v>-4.85143574278317</v>
      </c>
      <c r="BE310" s="31">
        <f t="shared" si="306"/>
        <v>146.992114464307</v>
      </c>
      <c r="BF310" s="30" t="str">
        <f t="shared" si="307"/>
        <v>0,673946610168381+0,610514294363161i</v>
      </c>
      <c r="BG310" s="68">
        <f t="shared" si="308"/>
        <v>-0.825303398753415</v>
      </c>
      <c r="BH310" s="31">
        <f t="shared" si="309"/>
        <v>42.1727798536144</v>
      </c>
      <c r="BI310" s="30" t="str">
        <f t="shared" si="316"/>
        <v>-1,31169123595356+10,0765014574585i</v>
      </c>
      <c r="BJ310" s="68">
        <f t="shared" si="310"/>
        <v>20.1391704472218</v>
      </c>
      <c r="BK310" s="31">
        <f t="shared" si="317"/>
        <v>97.4166750723098</v>
      </c>
      <c r="BL310" s="32">
        <f t="shared" si="311"/>
        <v>-0.825303398753415</v>
      </c>
      <c r="BM310" s="31">
        <f t="shared" si="312"/>
        <v>42.1727798536144</v>
      </c>
      <c r="BO310">
        <f t="shared" si="313"/>
        <v>0</v>
      </c>
      <c r="BP310">
        <f t="shared" si="314"/>
        <v>0</v>
      </c>
    </row>
    <row r="311" spans="14:68">
      <c r="N311" s="7">
        <v>93</v>
      </c>
      <c r="O311" s="18">
        <f t="shared" si="315"/>
        <v>8511.38038202378</v>
      </c>
      <c r="P311" s="86" t="str">
        <f t="shared" si="265"/>
        <v>96,0576923076923</v>
      </c>
      <c r="Q311" s="4" t="str">
        <f t="shared" si="266"/>
        <v>1+71,3856770399273i</v>
      </c>
      <c r="R311" s="4">
        <f t="shared" si="277"/>
        <v>71.3926809025183</v>
      </c>
      <c r="S311" s="4">
        <f t="shared" si="278"/>
        <v>1.55678883065153</v>
      </c>
      <c r="T311" s="4" t="str">
        <f t="shared" si="267"/>
        <v>1+0,838544136911127i</v>
      </c>
      <c r="U311" s="4">
        <f t="shared" si="279"/>
        <v>1.30505029387684</v>
      </c>
      <c r="V311" s="4">
        <f t="shared" si="280"/>
        <v>0.697805634204507</v>
      </c>
      <c r="W311" t="str">
        <f t="shared" si="268"/>
        <v>1-0,398118318969994i</v>
      </c>
      <c r="X311" s="4">
        <f t="shared" si="281"/>
        <v>1.0763355405725</v>
      </c>
      <c r="Y311" s="4">
        <f t="shared" si="282"/>
        <v>-0.378883186501837</v>
      </c>
      <c r="Z311" t="str">
        <f t="shared" si="269"/>
        <v>0,999408623706061+0,68245053786458i</v>
      </c>
      <c r="AA311" s="4">
        <f t="shared" si="283"/>
        <v>1.21018855298243</v>
      </c>
      <c r="AB311" s="4">
        <f t="shared" si="284"/>
        <v>0.599125902290257</v>
      </c>
      <c r="AC311" s="67" t="str">
        <f t="shared" si="285"/>
        <v>-0,410828530773785-1,5067042008794i</v>
      </c>
      <c r="AD311" s="68">
        <f t="shared" si="286"/>
        <v>3.8720069452739</v>
      </c>
      <c r="AE311" s="31">
        <f t="shared" si="287"/>
        <v>-105.251904942294</v>
      </c>
      <c r="AF311" s="32" t="str">
        <f t="shared" si="288"/>
        <v>236,914774604583</v>
      </c>
      <c r="AG311" s="32" t="str">
        <f t="shared" si="270"/>
        <v>1+17,6284846964271i</v>
      </c>
      <c r="AH311" s="32">
        <f t="shared" si="289"/>
        <v>17.6568251022704</v>
      </c>
      <c r="AI311" s="32">
        <f t="shared" si="290"/>
        <v>1.51413068273806</v>
      </c>
      <c r="AJ311" s="32" t="str">
        <f t="shared" si="271"/>
        <v>1+0,838544136911127i</v>
      </c>
      <c r="AK311" s="32">
        <f t="shared" si="291"/>
        <v>1.30505029387684</v>
      </c>
      <c r="AL311" s="32">
        <f t="shared" si="292"/>
        <v>0.697805634204507</v>
      </c>
      <c r="AM311" s="32" t="str">
        <f t="shared" si="272"/>
        <v>1-0,0398605801927546i</v>
      </c>
      <c r="AN311" s="32">
        <f t="shared" si="293"/>
        <v>1.00079411761526</v>
      </c>
      <c r="AO311" s="32">
        <f t="shared" si="294"/>
        <v>-0.0398394892572532</v>
      </c>
      <c r="AP311" s="30" t="str">
        <f t="shared" si="295"/>
        <v>11,4846499210008-13,2370405558659i</v>
      </c>
      <c r="AQ311" s="32">
        <f t="shared" si="296"/>
        <v>24.8730304581871</v>
      </c>
      <c r="AR311" s="31">
        <f t="shared" si="297"/>
        <v>-49.0546145841821</v>
      </c>
      <c r="AS311" t="str">
        <f t="shared" si="273"/>
        <v>-0,000272527472527473</v>
      </c>
      <c r="AT311" t="str">
        <f t="shared" si="274"/>
        <v>0,0120166369619853i</v>
      </c>
      <c r="AU311">
        <f t="shared" si="298"/>
        <v>0.0120166369619853</v>
      </c>
      <c r="AV311">
        <f t="shared" si="299"/>
        <v>1.5707963267949</v>
      </c>
      <c r="AW311" t="str">
        <f t="shared" si="275"/>
        <v>1+0,615229771757827i</v>
      </c>
      <c r="AX311">
        <f t="shared" si="300"/>
        <v>1.17409866368086</v>
      </c>
      <c r="AY311">
        <f t="shared" si="301"/>
        <v>0.551542663294312</v>
      </c>
      <c r="AZ311" t="str">
        <f t="shared" si="276"/>
        <v>1+29,4132190880816i</v>
      </c>
      <c r="BA311">
        <f t="shared" si="302"/>
        <v>29.430213338056</v>
      </c>
      <c r="BB311">
        <f t="shared" si="303"/>
        <v>1.53681109829022</v>
      </c>
      <c r="BC311" s="30" t="str">
        <f t="shared" si="304"/>
        <v>-0,473783930459712+0,314165159388599i</v>
      </c>
      <c r="BD311" s="32">
        <f t="shared" si="305"/>
        <v>-4.90567671472725</v>
      </c>
      <c r="BE311" s="31">
        <f t="shared" si="306"/>
        <v>146.451723012725</v>
      </c>
      <c r="BF311" s="30" t="str">
        <f t="shared" si="307"/>
        <v>0,667997921475741+0,584784227480872i</v>
      </c>
      <c r="BG311" s="68">
        <f t="shared" si="308"/>
        <v>-1.03366976945334</v>
      </c>
      <c r="BH311" s="31">
        <f t="shared" si="309"/>
        <v>41.1998180704318</v>
      </c>
      <c r="BI311" s="30" t="str">
        <f t="shared" si="316"/>
        <v>-1,28262562345862+9,87957397516623i</v>
      </c>
      <c r="BJ311" s="68">
        <f t="shared" si="310"/>
        <v>19.9673537434598</v>
      </c>
      <c r="BK311" s="31">
        <f t="shared" si="317"/>
        <v>97.3971084285433</v>
      </c>
      <c r="BL311" s="32">
        <f t="shared" si="311"/>
        <v>-1.03366976945334</v>
      </c>
      <c r="BM311" s="31">
        <f t="shared" si="312"/>
        <v>41.1998180704318</v>
      </c>
      <c r="BO311">
        <f t="shared" si="313"/>
        <v>0</v>
      </c>
      <c r="BP311">
        <f t="shared" si="314"/>
        <v>0</v>
      </c>
    </row>
    <row r="312" spans="14:68">
      <c r="N312" s="7">
        <v>94</v>
      </c>
      <c r="O312" s="18">
        <f t="shared" si="315"/>
        <v>8709.63589956082</v>
      </c>
      <c r="P312" s="86" t="str">
        <f t="shared" si="265"/>
        <v>96,0576923076923</v>
      </c>
      <c r="Q312" s="4" t="str">
        <f t="shared" si="266"/>
        <v>1+73,0484630641747i</v>
      </c>
      <c r="R312" s="4">
        <f t="shared" si="277"/>
        <v>73.0553075144996</v>
      </c>
      <c r="S312" s="4">
        <f t="shared" si="278"/>
        <v>1.5571076398982</v>
      </c>
      <c r="T312" s="4" t="str">
        <f t="shared" si="267"/>
        <v>1+0,858076339019269i</v>
      </c>
      <c r="U312" s="4">
        <f t="shared" si="279"/>
        <v>1.31768547217639</v>
      </c>
      <c r="V312" s="4">
        <f t="shared" si="280"/>
        <v>0.709164148826621</v>
      </c>
      <c r="W312" t="str">
        <f t="shared" si="268"/>
        <v>1-0,407391685900589i</v>
      </c>
      <c r="X312" s="4">
        <f t="shared" si="281"/>
        <v>1.0797999748754</v>
      </c>
      <c r="Y312" s="4">
        <f t="shared" si="282"/>
        <v>-0.386862234152877</v>
      </c>
      <c r="Z312" t="str">
        <f t="shared" si="269"/>
        <v>0,999380752999976+0,698346852975056i</v>
      </c>
      <c r="AA312" s="4">
        <f t="shared" si="283"/>
        <v>1.2192006465414</v>
      </c>
      <c r="AB312" s="4">
        <f t="shared" si="284"/>
        <v>0.60990641422701</v>
      </c>
      <c r="AC312" s="67" t="str">
        <f t="shared" si="285"/>
        <v>-0,41508102009334-1,47726981215226i</v>
      </c>
      <c r="AD312" s="68">
        <f t="shared" si="286"/>
        <v>3.7192052444722</v>
      </c>
      <c r="AE312" s="31">
        <f t="shared" si="287"/>
        <v>-105.694220007118</v>
      </c>
      <c r="AF312" s="32" t="str">
        <f t="shared" si="288"/>
        <v>236,914774604583</v>
      </c>
      <c r="AG312" s="32" t="str">
        <f t="shared" si="270"/>
        <v>1+18,0391048543823i</v>
      </c>
      <c r="AH312" s="32">
        <f t="shared" si="289"/>
        <v>18.0668011542553</v>
      </c>
      <c r="AI312" s="32">
        <f t="shared" si="290"/>
        <v>1.51541788414502</v>
      </c>
      <c r="AJ312" s="32" t="str">
        <f t="shared" si="271"/>
        <v>1+0,858076339019269i</v>
      </c>
      <c r="AK312" s="32">
        <f t="shared" si="291"/>
        <v>1.31768547217639</v>
      </c>
      <c r="AL312" s="32">
        <f t="shared" si="292"/>
        <v>0.709164148826621</v>
      </c>
      <c r="AM312" s="32" t="str">
        <f t="shared" si="272"/>
        <v>1-0,0407890523794908i</v>
      </c>
      <c r="AN312" s="32">
        <f t="shared" si="293"/>
        <v>1.00083152767787</v>
      </c>
      <c r="AO312" s="32">
        <f t="shared" si="294"/>
        <v>-0.0407664540489027</v>
      </c>
      <c r="AP312" s="30" t="str">
        <f t="shared" si="295"/>
        <v>11,4521012334028-12,9582216509006i</v>
      </c>
      <c r="AQ312" s="32">
        <f t="shared" si="296"/>
        <v>24.7576723233388</v>
      </c>
      <c r="AR312" s="31">
        <f t="shared" si="297"/>
        <v>-48.5306820131183</v>
      </c>
      <c r="AS312" t="str">
        <f t="shared" si="273"/>
        <v>-0,000272527472527473</v>
      </c>
      <c r="AT312" t="str">
        <f t="shared" si="274"/>
        <v>0,0122965403939815i</v>
      </c>
      <c r="AU312">
        <f t="shared" si="298"/>
        <v>0.0122965403939815</v>
      </c>
      <c r="AV312">
        <f t="shared" si="299"/>
        <v>1.5707963267949</v>
      </c>
      <c r="AW312" t="str">
        <f t="shared" si="275"/>
        <v>1+0,629560314082272i</v>
      </c>
      <c r="AX312">
        <f t="shared" si="300"/>
        <v>1.1816709309564</v>
      </c>
      <c r="AY312">
        <f t="shared" si="301"/>
        <v>0.561871923147491</v>
      </c>
      <c r="AZ312" t="str">
        <f t="shared" si="276"/>
        <v>1+30,0983409732524i</v>
      </c>
      <c r="BA312">
        <f t="shared" si="302"/>
        <v>30.1149486026818</v>
      </c>
      <c r="BB312">
        <f t="shared" si="303"/>
        <v>1.53758412116825</v>
      </c>
      <c r="BC312" s="30" t="str">
        <f t="shared" si="304"/>
        <v>-0,467731274772441+0,316627987078182i</v>
      </c>
      <c r="BD312" s="32">
        <f t="shared" si="305"/>
        <v>-4.96174156031444</v>
      </c>
      <c r="BE312" s="31">
        <f t="shared" si="306"/>
        <v>145.904190966022</v>
      </c>
      <c r="BF312" s="30" t="str">
        <f t="shared" si="307"/>
        <v>0,661891341655237+0,559539024554308i</v>
      </c>
      <c r="BG312" s="68">
        <f t="shared" si="308"/>
        <v>-1.24253631584224</v>
      </c>
      <c r="BH312" s="31">
        <f t="shared" si="309"/>
        <v>40.2099709589043</v>
      </c>
      <c r="BI312" s="30" t="str">
        <f t="shared" si="316"/>
        <v>-1,25357027128496+9,68702129290748i</v>
      </c>
      <c r="BJ312" s="68">
        <f t="shared" si="310"/>
        <v>19.7959307630244</v>
      </c>
      <c r="BK312" s="31">
        <f t="shared" si="317"/>
        <v>97.3735089529038</v>
      </c>
      <c r="BL312" s="32">
        <f t="shared" si="311"/>
        <v>-1.24253631584224</v>
      </c>
      <c r="BM312" s="31">
        <f t="shared" si="312"/>
        <v>40.2099709589043</v>
      </c>
      <c r="BO312">
        <f t="shared" si="313"/>
        <v>0</v>
      </c>
      <c r="BP312">
        <f t="shared" si="314"/>
        <v>0</v>
      </c>
    </row>
    <row r="313" spans="14:68">
      <c r="N313" s="7">
        <v>95</v>
      </c>
      <c r="O313" s="18">
        <f t="shared" si="315"/>
        <v>8912.50938133747</v>
      </c>
      <c r="P313" s="86" t="str">
        <f t="shared" si="265"/>
        <v>96,0576923076923</v>
      </c>
      <c r="Q313" s="4" t="str">
        <f t="shared" si="266"/>
        <v>1+74,7499803504495i</v>
      </c>
      <c r="R313" s="4">
        <f t="shared" si="277"/>
        <v>74.756669016166</v>
      </c>
      <c r="S313" s="4">
        <f t="shared" si="278"/>
        <v>1.55741919484943</v>
      </c>
      <c r="T313" s="4" t="str">
        <f t="shared" si="267"/>
        <v>1+0,878063504560343i</v>
      </c>
      <c r="U313" s="4">
        <f t="shared" si="279"/>
        <v>1.33078755556279</v>
      </c>
      <c r="V313" s="4">
        <f t="shared" si="280"/>
        <v>0.720562449913858</v>
      </c>
      <c r="W313" t="str">
        <f t="shared" si="268"/>
        <v>1-0,416881057295515i</v>
      </c>
      <c r="X313" s="4">
        <f t="shared" si="281"/>
        <v>1.08341580934184</v>
      </c>
      <c r="Y313" s="4">
        <f t="shared" si="282"/>
        <v>-0.394973781833181</v>
      </c>
      <c r="Z313" t="str">
        <f t="shared" si="269"/>
        <v>0,99935156878798+0,714613440830693i</v>
      </c>
      <c r="AA313" s="4">
        <f t="shared" si="283"/>
        <v>1.22856661514746</v>
      </c>
      <c r="AB313" s="4">
        <f t="shared" si="284"/>
        <v>0.620773328212438</v>
      </c>
      <c r="AC313" s="67" t="str">
        <f t="shared" si="285"/>
        <v>-0,419349770067489-1,44846944745295i</v>
      </c>
      <c r="AD313" s="68">
        <f t="shared" si="286"/>
        <v>3.56774793738001</v>
      </c>
      <c r="AE313" s="31">
        <f t="shared" si="287"/>
        <v>-106.146382000089</v>
      </c>
      <c r="AF313" s="32" t="str">
        <f t="shared" si="288"/>
        <v>236,914774604583</v>
      </c>
      <c r="AG313" s="32" t="str">
        <f t="shared" si="270"/>
        <v>1+18,4592895845072i</v>
      </c>
      <c r="AH313" s="32">
        <f t="shared" si="289"/>
        <v>18.4863563734094</v>
      </c>
      <c r="AI313" s="32">
        <f t="shared" si="290"/>
        <v>1.51667596280184</v>
      </c>
      <c r="AJ313" s="32" t="str">
        <f t="shared" si="271"/>
        <v>1+0,878063504560343i</v>
      </c>
      <c r="AK313" s="32">
        <f t="shared" si="291"/>
        <v>1.33078755556279</v>
      </c>
      <c r="AL313" s="32">
        <f t="shared" si="292"/>
        <v>0.720562449913858</v>
      </c>
      <c r="AM313" s="32" t="str">
        <f t="shared" si="272"/>
        <v>1-0,0417391514617055i</v>
      </c>
      <c r="AN313" s="32">
        <f t="shared" si="293"/>
        <v>1.00087069932372</v>
      </c>
      <c r="AO313" s="32">
        <f t="shared" si="294"/>
        <v>-0.0417149380517796</v>
      </c>
      <c r="AP313" s="30" t="str">
        <f t="shared" si="295"/>
        <v>11,4210087028015-12,6861113815032i</v>
      </c>
      <c r="AQ313" s="32">
        <f t="shared" si="296"/>
        <v>24.6445506149326</v>
      </c>
      <c r="AR313" s="31">
        <f t="shared" si="297"/>
        <v>-48.0040341948322</v>
      </c>
      <c r="AS313" t="str">
        <f t="shared" si="273"/>
        <v>-0,000272527472527473</v>
      </c>
      <c r="AT313" t="str">
        <f t="shared" si="274"/>
        <v>0,0125829636144585i</v>
      </c>
      <c r="AU313">
        <f t="shared" si="298"/>
        <v>0.0125829636144585</v>
      </c>
      <c r="AV313">
        <f t="shared" si="299"/>
        <v>1.5707963267949</v>
      </c>
      <c r="AW313" t="str">
        <f t="shared" si="275"/>
        <v>1+0,644224657618459i</v>
      </c>
      <c r="AX313">
        <f t="shared" si="300"/>
        <v>1.18954840569168</v>
      </c>
      <c r="AY313">
        <f t="shared" si="301"/>
        <v>0.572304505770327</v>
      </c>
      <c r="AZ313" t="str">
        <f t="shared" si="276"/>
        <v>1+30,7994213972059i</v>
      </c>
      <c r="BA313">
        <f t="shared" si="302"/>
        <v>30.815651192254</v>
      </c>
      <c r="BB313">
        <f t="shared" si="303"/>
        <v>1.53833958626798</v>
      </c>
      <c r="BC313" s="30" t="str">
        <f t="shared" si="304"/>
        <v>-0,461556929408397+0,319004803566422i</v>
      </c>
      <c r="BD313" s="32">
        <f t="shared" si="305"/>
        <v>-5.01966843827292</v>
      </c>
      <c r="BE313" s="31">
        <f t="shared" si="306"/>
        <v>145.349732974096</v>
      </c>
      <c r="BF313" s="30" t="str">
        <f t="shared" si="307"/>
        <v>0,65562250377716+0,534776519482257i</v>
      </c>
      <c r="BG313" s="68">
        <f t="shared" si="308"/>
        <v>-1.45192050089292</v>
      </c>
      <c r="BH313" s="31">
        <f t="shared" si="309"/>
        <v>39.2033509740074</v>
      </c>
      <c r="BI313" s="30" t="str">
        <f t="shared" si="316"/>
        <v>-1,22451523833346+9,49871925314712i</v>
      </c>
      <c r="BJ313" s="68">
        <f t="shared" si="310"/>
        <v>19.6248821766597</v>
      </c>
      <c r="BK313" s="31">
        <f t="shared" si="317"/>
        <v>97.3456987792641</v>
      </c>
      <c r="BL313" s="32">
        <f t="shared" si="311"/>
        <v>-1.45192050089292</v>
      </c>
      <c r="BM313" s="31">
        <f t="shared" si="312"/>
        <v>39.2033509740074</v>
      </c>
      <c r="BO313">
        <f t="shared" si="313"/>
        <v>0</v>
      </c>
      <c r="BP313">
        <f t="shared" si="314"/>
        <v>0</v>
      </c>
    </row>
    <row r="314" spans="14:68">
      <c r="N314" s="7">
        <v>96</v>
      </c>
      <c r="O314" s="18">
        <f t="shared" si="315"/>
        <v>9120.10839355911</v>
      </c>
      <c r="P314" s="86" t="str">
        <f t="shared" si="265"/>
        <v>96,0576923076923</v>
      </c>
      <c r="Q314" s="4" t="str">
        <f t="shared" si="266"/>
        <v>1+76,491131065739i</v>
      </c>
      <c r="R314" s="4">
        <f t="shared" si="277"/>
        <v>76.4976674919965</v>
      </c>
      <c r="S314" s="4">
        <f t="shared" si="278"/>
        <v>1.55772366045371</v>
      </c>
      <c r="T314" s="4" t="str">
        <f t="shared" si="267"/>
        <v>1+0,898516230994079i</v>
      </c>
      <c r="U314" s="4">
        <f t="shared" si="279"/>
        <v>1.34437026795441</v>
      </c>
      <c r="V314" s="4">
        <f t="shared" si="280"/>
        <v>0.731994734833681</v>
      </c>
      <c r="W314" t="str">
        <f t="shared" si="268"/>
        <v>1-0,426591464545092i</v>
      </c>
      <c r="X314" s="4">
        <f t="shared" si="281"/>
        <v>1.08718916367977</v>
      </c>
      <c r="Y314" s="4">
        <f t="shared" si="282"/>
        <v>-0.403217859607823</v>
      </c>
      <c r="Z314" t="str">
        <f t="shared" si="269"/>
        <v>0,999321009166447+0,731258926191685i</v>
      </c>
      <c r="AA314" s="4">
        <f t="shared" si="283"/>
        <v>1.23829806448062</v>
      </c>
      <c r="AB314" s="4">
        <f t="shared" si="284"/>
        <v>0.631722198495717</v>
      </c>
      <c r="AC314" s="67" t="str">
        <f t="shared" si="285"/>
        <v>-0,423634074162949-1,42028443503567i</v>
      </c>
      <c r="AD314" s="68">
        <f t="shared" si="286"/>
        <v>3.41765551432663</v>
      </c>
      <c r="AE314" s="31">
        <f t="shared" si="287"/>
        <v>-106.608479838256</v>
      </c>
      <c r="AF314" s="32" t="str">
        <f t="shared" si="288"/>
        <v>236,914774604583</v>
      </c>
      <c r="AG314" s="32" t="str">
        <f t="shared" si="270"/>
        <v>1+18,8892616743073i</v>
      </c>
      <c r="AH314" s="32">
        <f t="shared" si="289"/>
        <v>18.9157132194494</v>
      </c>
      <c r="AI314" s="32">
        <f t="shared" si="290"/>
        <v>1.51790556981954</v>
      </c>
      <c r="AJ314" s="32" t="str">
        <f t="shared" si="271"/>
        <v>1+0,898516230994079i</v>
      </c>
      <c r="AK314" s="32">
        <f t="shared" si="291"/>
        <v>1.34437026795441</v>
      </c>
      <c r="AL314" s="32">
        <f t="shared" si="292"/>
        <v>0.731994734833681</v>
      </c>
      <c r="AM314" s="32" t="str">
        <f t="shared" si="272"/>
        <v>1-0,0427113811945082i</v>
      </c>
      <c r="AN314" s="32">
        <f t="shared" si="293"/>
        <v>1.00091171542926</v>
      </c>
      <c r="AO314" s="32">
        <f t="shared" si="294"/>
        <v>-0.0426854373345504</v>
      </c>
      <c r="AP314" s="30" t="str">
        <f t="shared" si="295"/>
        <v>11,3913075601502-12,4205762204187i</v>
      </c>
      <c r="AQ314" s="32">
        <f t="shared" si="296"/>
        <v>24.5336819171062</v>
      </c>
      <c r="AR314" s="31">
        <f t="shared" si="297"/>
        <v>-47.4750693242322</v>
      </c>
      <c r="AS314" t="str">
        <f t="shared" si="273"/>
        <v>-0,000272527472527473</v>
      </c>
      <c r="AT314" t="str">
        <f t="shared" si="274"/>
        <v>0,0128760584887991i</v>
      </c>
      <c r="AU314">
        <f t="shared" si="298"/>
        <v>0.0128760584887991</v>
      </c>
      <c r="AV314">
        <f t="shared" si="299"/>
        <v>1.5707963267949</v>
      </c>
      <c r="AW314" t="str">
        <f t="shared" si="275"/>
        <v>1+0,659230577595437i</v>
      </c>
      <c r="AX314">
        <f t="shared" si="300"/>
        <v>1.19774160587199</v>
      </c>
      <c r="AY314">
        <f t="shared" si="301"/>
        <v>0.58283685862589</v>
      </c>
      <c r="AZ314" t="str">
        <f t="shared" si="276"/>
        <v>1+31,5168320820627i</v>
      </c>
      <c r="BA314">
        <f t="shared" si="302"/>
        <v>31.5326926298554</v>
      </c>
      <c r="BB314">
        <f t="shared" si="303"/>
        <v>1.53907789069574</v>
      </c>
      <c r="BC314" s="30" t="str">
        <f t="shared" si="304"/>
        <v>-0,455263929135878+0,321289345226219i</v>
      </c>
      <c r="BD314" s="32">
        <f t="shared" si="305"/>
        <v>-5.07949461356485</v>
      </c>
      <c r="BE314" s="31">
        <f t="shared" si="306"/>
        <v>144.788575334836</v>
      </c>
      <c r="BF314" s="30" t="str">
        <f t="shared" si="307"/>
        <v>0,649187569286865+0,51049515808154i</v>
      </c>
      <c r="BG314" s="68">
        <f t="shared" si="308"/>
        <v>-1.66183909923822</v>
      </c>
      <c r="BH314" s="31">
        <f t="shared" si="309"/>
        <v>38.1800954965801</v>
      </c>
      <c r="BI314" s="30" t="str">
        <f t="shared" si="316"/>
        <v>-1,19545263663854+9,31454607951061i</v>
      </c>
      <c r="BJ314" s="68">
        <f t="shared" si="310"/>
        <v>19.4541873035414</v>
      </c>
      <c r="BK314" s="31">
        <f t="shared" si="317"/>
        <v>97.3135060106042</v>
      </c>
      <c r="BL314" s="32">
        <f t="shared" si="311"/>
        <v>-1.66183909923822</v>
      </c>
      <c r="BM314" s="31">
        <f t="shared" si="312"/>
        <v>38.1800954965801</v>
      </c>
      <c r="BO314">
        <f t="shared" si="313"/>
        <v>0</v>
      </c>
      <c r="BP314">
        <f t="shared" si="314"/>
        <v>0</v>
      </c>
    </row>
    <row r="315" spans="14:68">
      <c r="N315" s="7">
        <v>97</v>
      </c>
      <c r="O315" s="18">
        <f t="shared" si="315"/>
        <v>9332.54300796992</v>
      </c>
      <c r="P315" s="86" t="str">
        <f t="shared" si="265"/>
        <v>96,0576923076923</v>
      </c>
      <c r="Q315" s="4" t="str">
        <f t="shared" si="266"/>
        <v>1+78,2728383911994i</v>
      </c>
      <c r="R315" s="4">
        <f t="shared" si="277"/>
        <v>78.2792260425128</v>
      </c>
      <c r="S315" s="4">
        <f t="shared" si="278"/>
        <v>1.5580211979168</v>
      </c>
      <c r="T315" s="4" t="str">
        <f t="shared" si="267"/>
        <v>1+0,919445362626756i</v>
      </c>
      <c r="U315" s="4">
        <f t="shared" si="279"/>
        <v>1.35844756058372</v>
      </c>
      <c r="V315" s="4">
        <f t="shared" si="280"/>
        <v>0.743455112744979</v>
      </c>
      <c r="W315" t="str">
        <f t="shared" si="268"/>
        <v>1-0,436528056235776i</v>
      </c>
      <c r="X315" s="4">
        <f t="shared" si="281"/>
        <v>1.09112636476303</v>
      </c>
      <c r="Y315" s="4">
        <f t="shared" si="282"/>
        <v>-0.411594355086876</v>
      </c>
      <c r="Z315" t="str">
        <f t="shared" si="269"/>
        <v>0,999289009314322+0,748292134714701i</v>
      </c>
      <c r="AA315" s="4">
        <f t="shared" si="283"/>
        <v>1.24840684194388</v>
      </c>
      <c r="AB315" s="4">
        <f t="shared" si="284"/>
        <v>0.642748391110237</v>
      </c>
      <c r="AC315" s="67" t="str">
        <f t="shared" si="285"/>
        <v>-0,427932962602415-1,39269656401845i</v>
      </c>
      <c r="AD315" s="68">
        <f t="shared" si="286"/>
        <v>3.26894827266714</v>
      </c>
      <c r="AE315" s="31">
        <f t="shared" si="287"/>
        <v>-107.080588332167</v>
      </c>
      <c r="AF315" s="32" t="str">
        <f t="shared" si="288"/>
        <v>236,914774604583</v>
      </c>
      <c r="AG315" s="32" t="str">
        <f t="shared" si="270"/>
        <v>1+19,3292491006761i</v>
      </c>
      <c r="AH315" s="32">
        <f t="shared" si="289"/>
        <v>19.3550993486468</v>
      </c>
      <c r="AI315" s="32">
        <f t="shared" si="290"/>
        <v>1.51910734227093</v>
      </c>
      <c r="AJ315" s="32" t="str">
        <f t="shared" si="271"/>
        <v>1+0,919445362626756i</v>
      </c>
      <c r="AK315" s="32">
        <f t="shared" si="291"/>
        <v>1.35844756058372</v>
      </c>
      <c r="AL315" s="32">
        <f t="shared" si="292"/>
        <v>0.743455112744979</v>
      </c>
      <c r="AM315" s="32" t="str">
        <f t="shared" si="272"/>
        <v>1-0,0437062570669723i</v>
      </c>
      <c r="AN315" s="32">
        <f t="shared" si="293"/>
        <v>1.00095466276291</v>
      </c>
      <c r="AO315" s="32">
        <f t="shared" si="294"/>
        <v>-0.0436784591519496</v>
      </c>
      <c r="AP315" s="30" t="str">
        <f t="shared" si="295"/>
        <v>11,3629358842681-12,1614854159151i</v>
      </c>
      <c r="AQ315" s="32">
        <f t="shared" si="296"/>
        <v>24.4250805126829</v>
      </c>
      <c r="AR315" s="31">
        <f t="shared" si="297"/>
        <v>-46.944190486791</v>
      </c>
      <c r="AS315" t="str">
        <f t="shared" si="273"/>
        <v>-0,000272527472527473</v>
      </c>
      <c r="AT315" t="str">
        <f t="shared" si="274"/>
        <v>0,0131759804197852i</v>
      </c>
      <c r="AU315">
        <f t="shared" si="298"/>
        <v>0.0131759804197852</v>
      </c>
      <c r="AV315">
        <f t="shared" si="299"/>
        <v>1.5707963267949</v>
      </c>
      <c r="AW315" t="str">
        <f t="shared" si="275"/>
        <v>1+0,674586030350605i</v>
      </c>
      <c r="AX315">
        <f t="shared" si="300"/>
        <v>1.20626129521932</v>
      </c>
      <c r="AY315">
        <f t="shared" si="301"/>
        <v>0.593465219053373</v>
      </c>
      <c r="AZ315" t="str">
        <f t="shared" si="276"/>
        <v>1+32,250953408464i</v>
      </c>
      <c r="BA315">
        <f t="shared" si="302"/>
        <v>32.266453101556</v>
      </c>
      <c r="BB315">
        <f t="shared" si="303"/>
        <v>1.53979942268891</v>
      </c>
      <c r="BC315" s="30" t="str">
        <f t="shared" si="304"/>
        <v>-0,448855682724122+0,323475431187162i</v>
      </c>
      <c r="BD315" s="32">
        <f t="shared" si="305"/>
        <v>-5.14125634418564</v>
      </c>
      <c r="BE315" s="31">
        <f t="shared" si="306"/>
        <v>144.22095587719</v>
      </c>
      <c r="BF315" s="30" t="str">
        <f t="shared" si="307"/>
        <v>0,64258326364781+0,486693967473025i</v>
      </c>
      <c r="BG315" s="68">
        <f t="shared" si="308"/>
        <v>-1.8723080715185</v>
      </c>
      <c r="BH315" s="31">
        <f t="shared" si="309"/>
        <v>37.1403675450231</v>
      </c>
      <c r="BI315" s="30" t="str">
        <f t="shared" si="316"/>
        <v>-1,16637660529406+9,13438242401573i</v>
      </c>
      <c r="BJ315" s="68">
        <f t="shared" si="310"/>
        <v>19.2838241684973</v>
      </c>
      <c r="BK315" s="31">
        <f t="shared" si="317"/>
        <v>97.2767653903988</v>
      </c>
      <c r="BL315" s="32">
        <f t="shared" si="311"/>
        <v>-1.8723080715185</v>
      </c>
      <c r="BM315" s="31">
        <f t="shared" si="312"/>
        <v>37.1403675450231</v>
      </c>
      <c r="BO315">
        <f t="shared" si="313"/>
        <v>0</v>
      </c>
      <c r="BP315">
        <f t="shared" si="314"/>
        <v>0</v>
      </c>
    </row>
    <row r="316" spans="14:68">
      <c r="N316" s="7">
        <v>98</v>
      </c>
      <c r="O316" s="18">
        <f t="shared" si="315"/>
        <v>9549.92586021437</v>
      </c>
      <c r="P316" s="86" t="str">
        <f t="shared" si="265"/>
        <v>96,0576923076923</v>
      </c>
      <c r="Q316" s="4" t="str">
        <f t="shared" si="266"/>
        <v>1+80,0960470116383i</v>
      </c>
      <c r="R316" s="4">
        <f t="shared" si="277"/>
        <v>80.1022892737191</v>
      </c>
      <c r="S316" s="4">
        <f t="shared" si="278"/>
        <v>1.55831196478616</v>
      </c>
      <c r="T316" s="4" t="str">
        <f t="shared" si="267"/>
        <v>1+0,940861996360996i</v>
      </c>
      <c r="U316" s="4">
        <f t="shared" si="279"/>
        <v>1.37303361073078</v>
      </c>
      <c r="V316" s="4">
        <f t="shared" si="280"/>
        <v>0.754937619410716</v>
      </c>
      <c r="W316" t="str">
        <f t="shared" si="268"/>
        <v>1-0,446696100880009i</v>
      </c>
      <c r="X316" s="4">
        <f t="shared" si="281"/>
        <v>1.0952339505975</v>
      </c>
      <c r="Y316" s="4">
        <f t="shared" si="282"/>
        <v>-0.420103006608529</v>
      </c>
      <c r="Z316" t="str">
        <f t="shared" si="269"/>
        <v>0,999255501355628+0,765722097632359i</v>
      </c>
      <c r="AA316" s="4">
        <f t="shared" si="283"/>
        <v>1.25890503525563</v>
      </c>
      <c r="AB316" s="4">
        <f t="shared" si="284"/>
        <v>0.65384709144023</v>
      </c>
      <c r="AC316" s="67" t="str">
        <f t="shared" si="285"/>
        <v>-0,432245211058173-1,36568809095256i</v>
      </c>
      <c r="AD316" s="68">
        <f t="shared" si="286"/>
        <v>3.12164633086996</v>
      </c>
      <c r="AE316" s="31">
        <f t="shared" si="287"/>
        <v>-107.562767384953</v>
      </c>
      <c r="AF316" s="32" t="str">
        <f t="shared" si="288"/>
        <v>236,914774604583</v>
      </c>
      <c r="AG316" s="32" t="str">
        <f t="shared" si="270"/>
        <v>1+19,7794851507709i</v>
      </c>
      <c r="AH316" s="32">
        <f t="shared" si="289"/>
        <v>19.8047477345602</v>
      </c>
      <c r="AI316" s="32">
        <f t="shared" si="290"/>
        <v>1.52028190345845</v>
      </c>
      <c r="AJ316" s="32" t="str">
        <f t="shared" si="271"/>
        <v>1+0,940861996360996i</v>
      </c>
      <c r="AK316" s="32">
        <f t="shared" si="291"/>
        <v>1.37303361073078</v>
      </c>
      <c r="AL316" s="32">
        <f t="shared" si="292"/>
        <v>0.754937619410716</v>
      </c>
      <c r="AM316" s="32" t="str">
        <f t="shared" si="272"/>
        <v>1-0,0447243065754539i</v>
      </c>
      <c r="AN316" s="32">
        <f t="shared" si="293"/>
        <v>1.00099963216709</v>
      </c>
      <c r="AO316" s="32">
        <f t="shared" si="294"/>
        <v>-0.0446945221791376</v>
      </c>
      <c r="AP316" s="30" t="str">
        <f t="shared" si="295"/>
        <v>11,3358344795256-11,9087109691597i</v>
      </c>
      <c r="AQ316" s="32">
        <f t="shared" si="296"/>
        <v>24.3187583360595</v>
      </c>
      <c r="AR316" s="31">
        <f t="shared" si="297"/>
        <v>-46.4118048386153</v>
      </c>
      <c r="AS316" t="str">
        <f t="shared" si="273"/>
        <v>-0,000272527472527473</v>
      </c>
      <c r="AT316" t="str">
        <f t="shared" si="274"/>
        <v>0,0134828884299946i</v>
      </c>
      <c r="AU316">
        <f t="shared" si="298"/>
        <v>0.0134828884299946</v>
      </c>
      <c r="AV316">
        <f t="shared" si="299"/>
        <v>1.5707963267949</v>
      </c>
      <c r="AW316" t="str">
        <f t="shared" si="275"/>
        <v>1+0,690299157548266i</v>
      </c>
      <c r="AX316">
        <f t="shared" si="300"/>
        <v>1.21511848266408</v>
      </c>
      <c r="AY316">
        <f t="shared" si="301"/>
        <v>0.604185617447938</v>
      </c>
      <c r="AZ316" t="str">
        <f t="shared" si="276"/>
        <v>1+33,0021746172543i</v>
      </c>
      <c r="BA316">
        <f t="shared" si="302"/>
        <v>33.0173216579986</v>
      </c>
      <c r="BB316">
        <f t="shared" si="303"/>
        <v>1.54050456180648</v>
      </c>
      <c r="BC316" s="30" t="str">
        <f t="shared" si="304"/>
        <v>-0,442335973584819+0,3255569903605i</v>
      </c>
      <c r="BD316" s="32">
        <f t="shared" si="305"/>
        <v>-5.20498876739302</v>
      </c>
      <c r="BE316" s="31">
        <f t="shared" si="306"/>
        <v>143.647123789889</v>
      </c>
      <c r="BF316" s="30" t="str">
        <f t="shared" si="307"/>
        <v>0,635806910922485+0,463372521314856i</v>
      </c>
      <c r="BG316" s="68">
        <f t="shared" si="308"/>
        <v>-2.08334243652305</v>
      </c>
      <c r="BH316" s="31">
        <f t="shared" si="309"/>
        <v>36.0843564049359</v>
      </c>
      <c r="BI316" s="30" t="str">
        <f t="shared" si="316"/>
        <v>-1,13728327870461+8,95811141706261i</v>
      </c>
      <c r="BJ316" s="68">
        <f t="shared" si="310"/>
        <v>19.1137695686665</v>
      </c>
      <c r="BK316" s="31">
        <f t="shared" si="317"/>
        <v>97.2353189512739</v>
      </c>
      <c r="BL316" s="32">
        <f t="shared" si="311"/>
        <v>-2.08334243652305</v>
      </c>
      <c r="BM316" s="31">
        <f t="shared" si="312"/>
        <v>36.0843564049359</v>
      </c>
      <c r="BO316">
        <f t="shared" si="313"/>
        <v>0</v>
      </c>
      <c r="BP316">
        <f t="shared" si="314"/>
        <v>0</v>
      </c>
    </row>
    <row r="317" spans="14:68">
      <c r="N317" s="7">
        <v>99</v>
      </c>
      <c r="O317" s="18">
        <f t="shared" si="315"/>
        <v>9772.37220955812</v>
      </c>
      <c r="P317" s="86" t="str">
        <f t="shared" si="265"/>
        <v>96,0576923076923</v>
      </c>
      <c r="Q317" s="4" t="str">
        <f t="shared" si="266"/>
        <v>1+81,9617236163994i</v>
      </c>
      <c r="R317" s="4">
        <f t="shared" si="277"/>
        <v>81.9678237979455</v>
      </c>
      <c r="S317" s="4">
        <f t="shared" si="278"/>
        <v>1.55859611503347</v>
      </c>
      <c r="T317" s="4" t="str">
        <f t="shared" si="267"/>
        <v>1+0,962777487579488i</v>
      </c>
      <c r="U317" s="4">
        <f t="shared" si="279"/>
        <v>1.3881428206744</v>
      </c>
      <c r="V317" s="4">
        <f t="shared" si="280"/>
        <v>0.766436232475009</v>
      </c>
      <c r="W317" t="str">
        <f t="shared" si="268"/>
        <v>1-0,45710098970965i</v>
      </c>
      <c r="X317" s="4">
        <f t="shared" si="281"/>
        <v>1.09951867414498</v>
      </c>
      <c r="Y317" s="4">
        <f t="shared" si="282"/>
        <v>-0.428743396509077</v>
      </c>
      <c r="Z317" t="str">
        <f t="shared" si="269"/>
        <v>0,999220414215493+0,783558056541713i</v>
      </c>
      <c r="AA317" s="4">
        <f t="shared" si="283"/>
        <v>1.26980497091341</v>
      </c>
      <c r="AB317" s="4">
        <f t="shared" si="284"/>
        <v>0.665013312765078</v>
      </c>
      <c r="AC317" s="67" t="str">
        <f t="shared" si="285"/>
        <v>-0,436569350503772-1,33924174630465i</v>
      </c>
      <c r="AD317" s="68">
        <f t="shared" si="286"/>
        <v>2.97576964378</v>
      </c>
      <c r="AE317" s="31">
        <f t="shared" si="287"/>
        <v>-108.055061225705</v>
      </c>
      <c r="AF317" s="32" t="str">
        <f t="shared" si="288"/>
        <v>236,914774604583</v>
      </c>
      <c r="AG317" s="32" t="str">
        <f t="shared" si="270"/>
        <v>1+20,2402085457051i</v>
      </c>
      <c r="AH317" s="32">
        <f t="shared" si="289"/>
        <v>20.264896791586</v>
      </c>
      <c r="AI317" s="32">
        <f t="shared" si="290"/>
        <v>1.52142986317929</v>
      </c>
      <c r="AJ317" s="32" t="str">
        <f t="shared" si="271"/>
        <v>1+0,962777487579488i</v>
      </c>
      <c r="AK317" s="32">
        <f t="shared" si="291"/>
        <v>1.3881428206744</v>
      </c>
      <c r="AL317" s="32">
        <f t="shared" si="292"/>
        <v>0.766436232475009</v>
      </c>
      <c r="AM317" s="32" t="str">
        <f t="shared" si="272"/>
        <v>1-0,0457660695032781i</v>
      </c>
      <c r="AN317" s="32">
        <f t="shared" si="293"/>
        <v>1.00104671874882</v>
      </c>
      <c r="AO317" s="32">
        <f t="shared" si="294"/>
        <v>-0.0457341567496647</v>
      </c>
      <c r="AP317" s="30" t="str">
        <f t="shared" si="295"/>
        <v>11,3099467585252-11,6621276100168i</v>
      </c>
      <c r="AQ317" s="32">
        <f t="shared" si="296"/>
        <v>24.2147249354156</v>
      </c>
      <c r="AR317" s="31">
        <f t="shared" si="297"/>
        <v>-45.8783227599596</v>
      </c>
      <c r="AS317" t="str">
        <f t="shared" si="273"/>
        <v>-0,000272527472527473</v>
      </c>
      <c r="AT317" t="str">
        <f t="shared" si="274"/>
        <v>0,0137969452461168i</v>
      </c>
      <c r="AU317">
        <f t="shared" si="298"/>
        <v>0.0137969452461168</v>
      </c>
      <c r="AV317">
        <f t="shared" si="299"/>
        <v>1.5707963267949</v>
      </c>
      <c r="AW317" t="str">
        <f t="shared" si="275"/>
        <v>1+0,706378290496449i</v>
      </c>
      <c r="AX317">
        <f t="shared" si="300"/>
        <v>1.22432442158306</v>
      </c>
      <c r="AY317">
        <f t="shared" si="301"/>
        <v>0.614993881408743</v>
      </c>
      <c r="AZ317" t="str">
        <f t="shared" si="276"/>
        <v>1+33,7708940158621i</v>
      </c>
      <c r="BA317">
        <f t="shared" si="302"/>
        <v>33.7856964206836</v>
      </c>
      <c r="BB317">
        <f t="shared" si="303"/>
        <v>1.54119367911608</v>
      </c>
      <c r="BC317" s="30" t="str">
        <f t="shared" si="304"/>
        <v>-0,435708958146053+0,327528089029977i</v>
      </c>
      <c r="BD317" s="32">
        <f t="shared" si="305"/>
        <v>-5.27072578604332</v>
      </c>
      <c r="BE317" s="31">
        <f t="shared" si="306"/>
        <v>143.067339394501</v>
      </c>
      <c r="BF317" s="30" t="str">
        <f t="shared" si="307"/>
        <v>0,628856466782829+0,440530900888541i</v>
      </c>
      <c r="BG317" s="68">
        <f t="shared" si="308"/>
        <v>-2.29495614226332</v>
      </c>
      <c r="BH317" s="31">
        <f t="shared" si="309"/>
        <v>35.0122781687959</v>
      </c>
      <c r="BI317" s="30" t="str">
        <f t="shared" si="316"/>
        <v>-1,10817074871181+8,78561871957728i</v>
      </c>
      <c r="BJ317" s="68">
        <f t="shared" si="310"/>
        <v>18.9439991493723</v>
      </c>
      <c r="BK317" s="31">
        <f t="shared" si="317"/>
        <v>97.1890166345414</v>
      </c>
      <c r="BL317" s="32">
        <f t="shared" si="311"/>
        <v>-2.29495614226332</v>
      </c>
      <c r="BM317" s="31">
        <f t="shared" si="312"/>
        <v>35.0122781687959</v>
      </c>
      <c r="BO317">
        <f t="shared" si="313"/>
        <v>0</v>
      </c>
      <c r="BP317">
        <f t="shared" si="314"/>
        <v>0</v>
      </c>
    </row>
    <row r="318" spans="14:68">
      <c r="N318" s="7">
        <v>100</v>
      </c>
      <c r="O318" s="18">
        <f t="shared" si="315"/>
        <v>10000</v>
      </c>
      <c r="P318" s="86" t="str">
        <f t="shared" si="265"/>
        <v>96,0576923076923</v>
      </c>
      <c r="Q318" s="4" t="str">
        <f t="shared" si="266"/>
        <v>1+83,8708574119134i</v>
      </c>
      <c r="R318" s="4">
        <f t="shared" si="277"/>
        <v>83.8768187463587</v>
      </c>
      <c r="S318" s="4">
        <f t="shared" si="278"/>
        <v>1.55887379913528</v>
      </c>
      <c r="T318" s="4" t="str">
        <f t="shared" si="267"/>
        <v>1+0,98520345616576i</v>
      </c>
      <c r="U318" s="4">
        <f t="shared" si="279"/>
        <v>1.40378981690314</v>
      </c>
      <c r="V318" s="4">
        <f t="shared" si="280"/>
        <v>0.777944887110802</v>
      </c>
      <c r="W318" t="str">
        <f t="shared" si="268"/>
        <v>1-0,467748239534481i</v>
      </c>
      <c r="X318" s="4">
        <f t="shared" si="281"/>
        <v>1.10398750698892</v>
      </c>
      <c r="Y318" s="4">
        <f t="shared" si="282"/>
        <v>-0.437514944521277</v>
      </c>
      <c r="Z318" t="str">
        <f t="shared" si="269"/>
        <v>0,999183673469388+0,801809468304261i</v>
      </c>
      <c r="AA318" s="4">
        <f t="shared" si="283"/>
        <v>1.28111921255992</v>
      </c>
      <c r="AB318" s="4">
        <f t="shared" si="284"/>
        <v>0.676241905759577</v>
      </c>
      <c r="AC318" s="67" t="str">
        <f t="shared" si="285"/>
        <v>-0,440903678223925-1,31334074071342i</v>
      </c>
      <c r="AD318" s="68">
        <f t="shared" si="286"/>
        <v>2.83133801854275</v>
      </c>
      <c r="AE318" s="31">
        <f t="shared" si="287"/>
        <v>-108.557497683623</v>
      </c>
      <c r="AF318" s="32" t="str">
        <f t="shared" si="288"/>
        <v>236,914774604583</v>
      </c>
      <c r="AG318" s="32" t="str">
        <f t="shared" si="270"/>
        <v>1+20,7116635671211i</v>
      </c>
      <c r="AH318" s="32">
        <f t="shared" si="289"/>
        <v>20.7357905013918</v>
      </c>
      <c r="AI318" s="32">
        <f t="shared" si="290"/>
        <v>1.52255181798766</v>
      </c>
      <c r="AJ318" s="32" t="str">
        <f t="shared" si="271"/>
        <v>1+0,98520345616576i</v>
      </c>
      <c r="AK318" s="32">
        <f t="shared" si="291"/>
        <v>1.40378981690314</v>
      </c>
      <c r="AL318" s="32">
        <f t="shared" si="292"/>
        <v>0.777944887110802</v>
      </c>
      <c r="AM318" s="32" t="str">
        <f t="shared" si="272"/>
        <v>1-0,0468320982069383i</v>
      </c>
      <c r="AN318" s="32">
        <f t="shared" si="293"/>
        <v>1.00109602207903</v>
      </c>
      <c r="AO318" s="32">
        <f t="shared" si="294"/>
        <v>-0.0467979050969958</v>
      </c>
      <c r="AP318" s="30" t="str">
        <f t="shared" si="295"/>
        <v>11,2852186295989-11,4216127714487i</v>
      </c>
      <c r="AQ318" s="32">
        <f t="shared" si="296"/>
        <v>24.1129874446208</v>
      </c>
      <c r="AR318" s="31">
        <f t="shared" si="297"/>
        <v>-45.344156987545</v>
      </c>
      <c r="AS318" t="str">
        <f t="shared" si="273"/>
        <v>-0,000272527472527473</v>
      </c>
      <c r="AT318" t="str">
        <f t="shared" si="274"/>
        <v>0,0141183173852325i</v>
      </c>
      <c r="AU318">
        <f t="shared" si="298"/>
        <v>0.0141183173852325</v>
      </c>
      <c r="AV318">
        <f t="shared" si="299"/>
        <v>1.5707963267949</v>
      </c>
      <c r="AW318" t="str">
        <f t="shared" si="275"/>
        <v>1+0,722831954564274i</v>
      </c>
      <c r="AX318">
        <f t="shared" si="300"/>
        <v>1.23389060882203</v>
      </c>
      <c r="AY318">
        <f t="shared" si="301"/>
        <v>0.625885640871304</v>
      </c>
      <c r="AZ318" t="str">
        <f t="shared" si="276"/>
        <v>1+34,5575191894877i</v>
      </c>
      <c r="BA318">
        <f t="shared" si="302"/>
        <v>34.5719847930635</v>
      </c>
      <c r="BB318">
        <f t="shared" si="303"/>
        <v>1.54186713737732</v>
      </c>
      <c r="BC318" s="30" t="str">
        <f t="shared" si="304"/>
        <v>-0,428979161857332+0,329382958796847i</v>
      </c>
      <c r="BD318" s="32">
        <f t="shared" si="305"/>
        <v>-5.33849995574723</v>
      </c>
      <c r="BE318" s="31">
        <f t="shared" si="306"/>
        <v>142.481873861872</v>
      </c>
      <c r="BF318" s="30" t="str">
        <f t="shared" si="307"/>
        <v>0,621730549428943+0,418169652106521i</v>
      </c>
      <c r="BG318" s="68">
        <f t="shared" si="308"/>
        <v>-2.50716193720448</v>
      </c>
      <c r="BH318" s="31">
        <f t="shared" si="309"/>
        <v>33.9243761782491</v>
      </c>
      <c r="BI318" s="30" t="str">
        <f t="shared" si="316"/>
        <v>-1,07903902021046+8,61679257664165i</v>
      </c>
      <c r="BJ318" s="68">
        <f t="shared" si="310"/>
        <v>18.7744874888736</v>
      </c>
      <c r="BK318" s="31">
        <f t="shared" si="317"/>
        <v>97.137716874327</v>
      </c>
      <c r="BL318" s="32">
        <f t="shared" si="311"/>
        <v>-2.50716193720448</v>
      </c>
      <c r="BM318" s="31">
        <f t="shared" si="312"/>
        <v>33.9243761782491</v>
      </c>
      <c r="BO318">
        <f t="shared" si="313"/>
        <v>0</v>
      </c>
      <c r="BP318">
        <f t="shared" si="314"/>
        <v>0</v>
      </c>
    </row>
    <row r="319" spans="14:68">
      <c r="N319" s="7">
        <v>1</v>
      </c>
      <c r="O319" s="18">
        <f>10^(4+(N319/100))</f>
        <v>10232.9299228075</v>
      </c>
      <c r="P319" s="86" t="str">
        <f t="shared" si="265"/>
        <v>96,0576923076923</v>
      </c>
      <c r="Q319" s="4" t="str">
        <f t="shared" si="266"/>
        <v>1+85,8244606461889i</v>
      </c>
      <c r="R319" s="4">
        <f t="shared" si="277"/>
        <v>85.8302862934129</v>
      </c>
      <c r="S319" s="4">
        <f t="shared" si="278"/>
        <v>1.55914516415201</v>
      </c>
      <c r="T319" s="4" t="str">
        <f t="shared" si="267"/>
        <v>1+1,0081517926652i</v>
      </c>
      <c r="U319" s="4">
        <f t="shared" si="279"/>
        <v>1.41998944962773</v>
      </c>
      <c r="V319" s="4">
        <f t="shared" si="280"/>
        <v>0.789457491939963</v>
      </c>
      <c r="W319" t="str">
        <f t="shared" si="268"/>
        <v>1-0,478643495667292i</v>
      </c>
      <c r="X319" s="4">
        <f t="shared" si="281"/>
        <v>1.10864764282643</v>
      </c>
      <c r="Y319" s="4">
        <f t="shared" si="282"/>
        <v>-0.446416901345209</v>
      </c>
      <c r="Z319" t="str">
        <f t="shared" si="269"/>
        <v>0,999145201185265+0,820486010060104i</v>
      </c>
      <c r="AA319" s="4">
        <f t="shared" si="283"/>
        <v>1.29286055928545</v>
      </c>
      <c r="AB319" s="4">
        <f t="shared" si="284"/>
        <v>0.687527568919135</v>
      </c>
      <c r="AC319" s="67" t="str">
        <f t="shared" si="285"/>
        <v>-0,445246269966811-1,28796877088103i</v>
      </c>
      <c r="AD319" s="68">
        <f t="shared" si="286"/>
        <v>2.68837113062389</v>
      </c>
      <c r="AE319" s="31">
        <f t="shared" si="287"/>
        <v>-109.070087509344</v>
      </c>
      <c r="AF319" s="32" t="str">
        <f t="shared" si="288"/>
        <v>236,914774604583</v>
      </c>
      <c r="AG319" s="32" t="str">
        <f t="shared" si="270"/>
        <v>1+21,1941001867115i</v>
      </c>
      <c r="AH319" s="32">
        <f t="shared" si="289"/>
        <v>21.2176785422997</v>
      </c>
      <c r="AI319" s="32">
        <f t="shared" si="290"/>
        <v>1.52364835145406</v>
      </c>
      <c r="AJ319" s="32" t="str">
        <f t="shared" si="271"/>
        <v>1+1,0081517926652i</v>
      </c>
      <c r="AK319" s="32">
        <f t="shared" si="291"/>
        <v>1.41998944962773</v>
      </c>
      <c r="AL319" s="32">
        <f t="shared" si="292"/>
        <v>0.789457491939963</v>
      </c>
      <c r="AM319" s="32" t="str">
        <f t="shared" si="272"/>
        <v>1-0,0479229579089638i</v>
      </c>
      <c r="AN319" s="32">
        <f t="shared" si="293"/>
        <v>1.00114764640124</v>
      </c>
      <c r="AO319" s="32">
        <f t="shared" si="294"/>
        <v>-0.0478863215995423</v>
      </c>
      <c r="AP319" s="30" t="str">
        <f t="shared" si="295"/>
        <v>11,2615983889438-11,1870465626881i</v>
      </c>
      <c r="AQ319" s="32">
        <f t="shared" si="296"/>
        <v>24.0135505651315</v>
      </c>
      <c r="AR319" s="31">
        <f t="shared" si="297"/>
        <v>-44.8097217312996</v>
      </c>
      <c r="AS319" t="str">
        <f t="shared" si="273"/>
        <v>-0,000272527472527473</v>
      </c>
      <c r="AT319" t="str">
        <f t="shared" si="274"/>
        <v>0,0144471752431039i</v>
      </c>
      <c r="AU319">
        <f t="shared" si="298"/>
        <v>0.0144471752431039</v>
      </c>
      <c r="AV319">
        <f t="shared" si="299"/>
        <v>1.5707963267949</v>
      </c>
      <c r="AW319" t="str">
        <f t="shared" si="275"/>
        <v>1+0,739668873702219i</v>
      </c>
      <c r="AX319">
        <f t="shared" si="300"/>
        <v>1.24382878352445</v>
      </c>
      <c r="AY319">
        <f t="shared" si="301"/>
        <v>0.636856334232602</v>
      </c>
      <c r="AZ319" t="str">
        <f t="shared" si="276"/>
        <v>1+35,3624672172103i</v>
      </c>
      <c r="BA319">
        <f t="shared" si="302"/>
        <v>35.3766036765582</v>
      </c>
      <c r="BB319">
        <f t="shared" si="303"/>
        <v>1.54252529122174</v>
      </c>
      <c r="BC319" s="30" t="str">
        <f t="shared" si="304"/>
        <v>-0,422151472746063+0,331116024651265i</v>
      </c>
      <c r="BD319" s="32">
        <f t="shared" si="305"/>
        <v>-5.40834237358602</v>
      </c>
      <c r="BE319" s="31">
        <f t="shared" si="306"/>
        <v>141.891008871493</v>
      </c>
      <c r="BF319" s="30" t="str">
        <f t="shared" si="307"/>
        <v>0,614428467890283+0,396289738576149i</v>
      </c>
      <c r="BG319" s="68">
        <f t="shared" si="308"/>
        <v>-2.71997124296213</v>
      </c>
      <c r="BH319" s="31">
        <f t="shared" si="309"/>
        <v>32.820921362149</v>
      </c>
      <c r="BI319" s="30" t="str">
        <f t="shared" si="316"/>
        <v>-1,04988995994143+8,45152387188372i</v>
      </c>
      <c r="BJ319" s="68">
        <f t="shared" si="310"/>
        <v>18.6052081915455</v>
      </c>
      <c r="BK319" s="31">
        <f t="shared" si="317"/>
        <v>97.0812871401931</v>
      </c>
      <c r="BL319" s="32">
        <f t="shared" si="311"/>
        <v>-2.71997124296213</v>
      </c>
      <c r="BM319" s="31">
        <f t="shared" si="312"/>
        <v>32.820921362149</v>
      </c>
      <c r="BO319">
        <f t="shared" si="313"/>
        <v>0</v>
      </c>
      <c r="BP319">
        <f t="shared" si="314"/>
        <v>0</v>
      </c>
    </row>
    <row r="320" spans="14:68">
      <c r="N320" s="7">
        <v>2</v>
      </c>
      <c r="O320" s="18">
        <f t="shared" ref="O320:O383" si="318">10^(4+(N320/100))</f>
        <v>10471.285480509</v>
      </c>
      <c r="P320" s="86" t="str">
        <f t="shared" si="265"/>
        <v>96,0576923076923</v>
      </c>
      <c r="Q320" s="4" t="str">
        <f t="shared" si="266"/>
        <v>1+87,8235691455209i</v>
      </c>
      <c r="R320" s="4">
        <f t="shared" si="277"/>
        <v>87.8292621935201</v>
      </c>
      <c r="S320" s="4">
        <f t="shared" si="278"/>
        <v>1.55941035380501</v>
      </c>
      <c r="T320" s="4" t="str">
        <f t="shared" si="267"/>
        <v>1+1,03163466458958i</v>
      </c>
      <c r="U320" s="4">
        <f t="shared" si="279"/>
        <v>1.43675679263501</v>
      </c>
      <c r="V320" s="4">
        <f t="shared" si="280"/>
        <v>0.800967945124353</v>
      </c>
      <c r="W320" t="str">
        <f t="shared" si="268"/>
        <v>1-0,489792534917106i</v>
      </c>
      <c r="X320" s="4">
        <f t="shared" si="281"/>
        <v>1.11350650077156</v>
      </c>
      <c r="Y320" s="4">
        <f t="shared" si="282"/>
        <v>-0.455448342438369</v>
      </c>
      <c r="Z320" t="str">
        <f t="shared" si="269"/>
        <v>0,99910491575825+0,839597584358905i</v>
      </c>
      <c r="AA320" s="4">
        <f t="shared" si="283"/>
        <v>1.30504204390265</v>
      </c>
      <c r="AB320" s="4">
        <f t="shared" si="284"/>
        <v>0.6988648598696</v>
      </c>
      <c r="AC320" s="67" t="str">
        <f t="shared" si="285"/>
        <v>-0,449594993206487-1,26311002496042i</v>
      </c>
      <c r="AD320" s="68">
        <f t="shared" si="286"/>
        <v>2.54688853931854</v>
      </c>
      <c r="AE320" s="31">
        <f t="shared" si="287"/>
        <v>-109.592823749615</v>
      </c>
      <c r="AF320" s="32" t="str">
        <f t="shared" si="288"/>
        <v>236,914774604583</v>
      </c>
      <c r="AG320" s="32" t="str">
        <f t="shared" si="270"/>
        <v>1+21,6877741987582i</v>
      </c>
      <c r="AH320" s="32">
        <f t="shared" si="289"/>
        <v>21.7108164216899</v>
      </c>
      <c r="AI320" s="32">
        <f t="shared" si="290"/>
        <v>1.52472003442138</v>
      </c>
      <c r="AJ320" s="32" t="str">
        <f t="shared" si="271"/>
        <v>1+1,03163466458958i</v>
      </c>
      <c r="AK320" s="32">
        <f t="shared" si="291"/>
        <v>1.43675679263501</v>
      </c>
      <c r="AL320" s="32">
        <f t="shared" si="292"/>
        <v>0.800967945124353</v>
      </c>
      <c r="AM320" s="32" t="str">
        <f t="shared" si="272"/>
        <v>1-0,0490392269976085i</v>
      </c>
      <c r="AN320" s="32">
        <f t="shared" si="293"/>
        <v>1.0012017008498</v>
      </c>
      <c r="AO320" s="32">
        <f t="shared" si="294"/>
        <v>-0.0489999730291313</v>
      </c>
      <c r="AP320" s="30" t="str">
        <f t="shared" si="295"/>
        <v>11,2390366172241-10,9583117413379i</v>
      </c>
      <c r="AQ320" s="32">
        <f t="shared" si="296"/>
        <v>23.9164165580828</v>
      </c>
      <c r="AR320" s="31">
        <f t="shared" si="297"/>
        <v>-44.2754317813195</v>
      </c>
      <c r="AS320" t="str">
        <f t="shared" si="273"/>
        <v>-0,000272527472527473</v>
      </c>
      <c r="AT320" t="str">
        <f t="shared" si="274"/>
        <v>0,0147836931845203i</v>
      </c>
      <c r="AU320">
        <f t="shared" si="298"/>
        <v>0.0147836931845203</v>
      </c>
      <c r="AV320">
        <f t="shared" si="299"/>
        <v>1.5707963267949</v>
      </c>
      <c r="AW320" t="str">
        <f t="shared" si="275"/>
        <v>1+0,756897975067683i</v>
      </c>
      <c r="AX320">
        <f t="shared" si="300"/>
        <v>1.25415092579066</v>
      </c>
      <c r="AY320">
        <f t="shared" si="301"/>
        <v>0.647901215469077</v>
      </c>
      <c r="AZ320" t="str">
        <f t="shared" si="276"/>
        <v>1+36,1861648931294i</v>
      </c>
      <c r="BA320">
        <f t="shared" si="302"/>
        <v>36.1999796916069</v>
      </c>
      <c r="BB320">
        <f t="shared" si="303"/>
        <v>1.54316848732918</v>
      </c>
      <c r="BC320" s="30" t="str">
        <f t="shared" si="304"/>
        <v>-0,415231132470267+0,332721932928722i</v>
      </c>
      <c r="BD320" s="32">
        <f t="shared" si="305"/>
        <v>-5.48028256914677</v>
      </c>
      <c r="BE320" s="31">
        <f t="shared" si="306"/>
        <v>141.295036213775</v>
      </c>
      <c r="BF320" s="30" t="str">
        <f t="shared" si="307"/>
        <v>0,606950247188569+0,374892490924124i</v>
      </c>
      <c r="BG320" s="68">
        <f t="shared" si="308"/>
        <v>-2.93339402982823</v>
      </c>
      <c r="BH320" s="31">
        <f t="shared" si="309"/>
        <v>31.7022124641598</v>
      </c>
      <c r="BI320" s="30" t="str">
        <f t="shared" si="316"/>
        <v>-1,02072723823131+8,28970618185745i</v>
      </c>
      <c r="BJ320" s="68">
        <f t="shared" si="310"/>
        <v>18.436133988936</v>
      </c>
      <c r="BK320" s="31">
        <f t="shared" si="317"/>
        <v>97.0196044324558</v>
      </c>
      <c r="BL320" s="32">
        <f t="shared" si="311"/>
        <v>-2.93339402982823</v>
      </c>
      <c r="BM320" s="31">
        <f t="shared" si="312"/>
        <v>31.7022124641598</v>
      </c>
      <c r="BO320">
        <f t="shared" si="313"/>
        <v>0</v>
      </c>
      <c r="BP320">
        <f t="shared" si="314"/>
        <v>0</v>
      </c>
    </row>
    <row r="321" spans="14:68">
      <c r="N321" s="7">
        <v>3</v>
      </c>
      <c r="O321" s="18">
        <f t="shared" si="318"/>
        <v>10715.1930523761</v>
      </c>
      <c r="P321" s="86" t="str">
        <f t="shared" si="265"/>
        <v>96,0576923076923</v>
      </c>
      <c r="Q321" s="4" t="str">
        <f t="shared" si="266"/>
        <v>1+89,8692428636961i</v>
      </c>
      <c r="R321" s="4">
        <f t="shared" si="277"/>
        <v>89.8748063302169</v>
      </c>
      <c r="S321" s="4">
        <f t="shared" si="278"/>
        <v>1.55966950855207</v>
      </c>
      <c r="T321" s="4" t="str">
        <f t="shared" si="267"/>
        <v>1+1,05566452286843i</v>
      </c>
      <c r="U321" s="4">
        <f t="shared" si="279"/>
        <v>1.45410714352245</v>
      </c>
      <c r="V321" s="4">
        <f t="shared" si="280"/>
        <v>0.812470150524399</v>
      </c>
      <c r="W321" t="str">
        <f t="shared" si="268"/>
        <v>1-0,501201268652102i</v>
      </c>
      <c r="X321" s="4">
        <f t="shared" si="281"/>
        <v>1.11857172845485</v>
      </c>
      <c r="Y321" s="4">
        <f t="shared" si="282"/>
        <v>-0.464608162074005</v>
      </c>
      <c r="Z321" t="str">
        <f t="shared" si="269"/>
        <v>0,999062731737554+0,859154324410319i</v>
      </c>
      <c r="AA321" s="4">
        <f t="shared" si="283"/>
        <v>1.31767693123157</v>
      </c>
      <c r="AB321" s="4">
        <f t="shared" si="284"/>
        <v>0.71024820751218</v>
      </c>
      <c r="AC321" s="67" t="str">
        <f t="shared" si="285"/>
        <v>-0,453947521466606-1,23874918730301i</v>
      </c>
      <c r="AD321" s="68">
        <f t="shared" si="286"/>
        <v>2.40690970211605</v>
      </c>
      <c r="AE321" s="31">
        <f t="shared" si="287"/>
        <v>-110.125681181221</v>
      </c>
      <c r="AF321" s="32" t="str">
        <f t="shared" si="288"/>
        <v>236,914774604583</v>
      </c>
      <c r="AG321" s="32" t="str">
        <f t="shared" si="270"/>
        <v>1+22,1929473557567i</v>
      </c>
      <c r="AH321" s="32">
        <f t="shared" si="289"/>
        <v>22.2154656114921</v>
      </c>
      <c r="AI321" s="32">
        <f t="shared" si="290"/>
        <v>1.52576742525788</v>
      </c>
      <c r="AJ321" s="32" t="str">
        <f t="shared" si="271"/>
        <v>1+1,05566452286843i</v>
      </c>
      <c r="AK321" s="32">
        <f t="shared" si="291"/>
        <v>1.45410714352245</v>
      </c>
      <c r="AL321" s="32">
        <f t="shared" si="292"/>
        <v>0.812470150524399</v>
      </c>
      <c r="AM321" s="32" t="str">
        <f t="shared" si="272"/>
        <v>1-0,0501814973335181i</v>
      </c>
      <c r="AN321" s="32">
        <f t="shared" si="293"/>
        <v>1.00125829967828</v>
      </c>
      <c r="AO321" s="32">
        <f t="shared" si="294"/>
        <v>-0.0501394388028339</v>
      </c>
      <c r="AP321" s="30" t="str">
        <f t="shared" si="295"/>
        <v>11,2174860804736-10,7352936845461i</v>
      </c>
      <c r="AQ321" s="32">
        <f t="shared" si="296"/>
        <v>23.8215852466893</v>
      </c>
      <c r="AR321" s="31">
        <f t="shared" si="297"/>
        <v>-43.741701610969</v>
      </c>
      <c r="AS321" t="str">
        <f t="shared" si="273"/>
        <v>-0,000272527472527473</v>
      </c>
      <c r="AT321" t="str">
        <f t="shared" si="274"/>
        <v>0,0151280496357484i</v>
      </c>
      <c r="AU321">
        <f t="shared" si="298"/>
        <v>0.0151280496357484</v>
      </c>
      <c r="AV321">
        <f t="shared" si="299"/>
        <v>1.5707963267949</v>
      </c>
      <c r="AW321" t="str">
        <f t="shared" si="275"/>
        <v>1+0,774528393758255i</v>
      </c>
      <c r="AX321">
        <f t="shared" si="300"/>
        <v>1.26486925519507</v>
      </c>
      <c r="AY321">
        <f t="shared" si="301"/>
        <v>0.659015362238896</v>
      </c>
      <c r="AZ321" t="str">
        <f t="shared" si="276"/>
        <v>1+37,0290489526552i</v>
      </c>
      <c r="BA321">
        <f t="shared" si="302"/>
        <v>37.0425494038698</v>
      </c>
      <c r="BB321">
        <f t="shared" si="303"/>
        <v>1.54379706460079</v>
      </c>
      <c r="BC321" s="30" t="str">
        <f t="shared" si="304"/>
        <v>-0,408223724838678+0,334195578899244i</v>
      </c>
      <c r="BD321" s="32">
        <f t="shared" si="305"/>
        <v>-5.55434839865188</v>
      </c>
      <c r="BE321" s="31">
        <f t="shared" si="306"/>
        <v>140.694257335737</v>
      </c>
      <c r="BF321" s="30" t="str">
        <f t="shared" si="307"/>
        <v>0,599296649856081+0,353979552655311i</v>
      </c>
      <c r="BG321" s="68">
        <f t="shared" si="308"/>
        <v>-3.14743869653583</v>
      </c>
      <c r="BH321" s="31">
        <f t="shared" si="309"/>
        <v>30.5685761545164</v>
      </c>
      <c r="BI321" s="30" t="str">
        <f t="shared" si="316"/>
        <v>-0,991556263536673+8,13123582960063i</v>
      </c>
      <c r="BJ321" s="68">
        <f t="shared" si="310"/>
        <v>18.2672368480374</v>
      </c>
      <c r="BK321" s="31">
        <f t="shared" si="317"/>
        <v>96.9525557247679</v>
      </c>
      <c r="BL321" s="32">
        <f t="shared" si="311"/>
        <v>-3.14743869653583</v>
      </c>
      <c r="BM321" s="31">
        <f t="shared" si="312"/>
        <v>30.5685761545164</v>
      </c>
      <c r="BO321">
        <f t="shared" si="313"/>
        <v>0</v>
      </c>
      <c r="BP321">
        <f t="shared" si="314"/>
        <v>0</v>
      </c>
    </row>
    <row r="322" spans="14:68">
      <c r="N322" s="7">
        <v>4</v>
      </c>
      <c r="O322" s="18">
        <f t="shared" si="318"/>
        <v>10964.7819614319</v>
      </c>
      <c r="P322" s="86" t="str">
        <f t="shared" si="265"/>
        <v>96,0576923076923</v>
      </c>
      <c r="Q322" s="4" t="str">
        <f t="shared" si="266"/>
        <v>1+91,9625664439975i</v>
      </c>
      <c r="R322" s="4">
        <f t="shared" si="277"/>
        <v>91.9680032781329</v>
      </c>
      <c r="S322" s="4">
        <f t="shared" si="278"/>
        <v>1.55992276566115</v>
      </c>
      <c r="T322" s="4" t="str">
        <f t="shared" si="267"/>
        <v>1+1,08025410845067i</v>
      </c>
      <c r="U322" s="4">
        <f t="shared" si="279"/>
        <v>1.4720560243498</v>
      </c>
      <c r="V322" s="4">
        <f t="shared" si="280"/>
        <v>0.823958033820874</v>
      </c>
      <c r="W322" t="str">
        <f t="shared" si="268"/>
        <v>1-0,512875745933921i</v>
      </c>
      <c r="X322" s="4">
        <f t="shared" si="281"/>
        <v>1.12385120490538</v>
      </c>
      <c r="Y322" s="4">
        <f t="shared" si="282"/>
        <v>-0.47389506771882</v>
      </c>
      <c r="Z322" t="str">
        <f t="shared" si="269"/>
        <v>0,99901855964521+0,879166599456786i</v>
      </c>
      <c r="AA322" s="4">
        <f t="shared" si="283"/>
        <v>1.33077871643485</v>
      </c>
      <c r="AB322" s="4">
        <f t="shared" si="284"/>
        <v>0.721671924945122</v>
      </c>
      <c r="AC322" s="67" t="str">
        <f t="shared" si="285"/>
        <v>-0,458301349640343-1,21487144243542i</v>
      </c>
      <c r="AD322" s="68">
        <f t="shared" si="286"/>
        <v>2.26845398726109</v>
      </c>
      <c r="AE322" s="31">
        <f t="shared" si="287"/>
        <v>-110.668615809717</v>
      </c>
      <c r="AF322" s="32" t="str">
        <f t="shared" si="288"/>
        <v>236,914774604583</v>
      </c>
      <c r="AG322" s="32" t="str">
        <f t="shared" si="270"/>
        <v>1+22,7098875072015i</v>
      </c>
      <c r="AH322" s="32">
        <f t="shared" si="289"/>
        <v>22.7318936868389</v>
      </c>
      <c r="AI322" s="32">
        <f t="shared" si="290"/>
        <v>1.52679107010667</v>
      </c>
      <c r="AJ322" s="32" t="str">
        <f t="shared" si="271"/>
        <v>1+1,08025410845067i</v>
      </c>
      <c r="AK322" s="32">
        <f t="shared" si="291"/>
        <v>1.4720560243498</v>
      </c>
      <c r="AL322" s="32">
        <f t="shared" si="292"/>
        <v>0.823958033820874</v>
      </c>
      <c r="AM322" s="32" t="str">
        <f t="shared" si="272"/>
        <v>1-0,0513503745635445i</v>
      </c>
      <c r="AN322" s="32">
        <f t="shared" si="293"/>
        <v>1.00131756249844</v>
      </c>
      <c r="AO322" s="32">
        <f t="shared" si="294"/>
        <v>-0.0513053112380661</v>
      </c>
      <c r="AP322" s="30" t="str">
        <f t="shared" si="295"/>
        <v>11,196901635133-10,5178803593881i</v>
      </c>
      <c r="AQ322" s="32">
        <f t="shared" si="296"/>
        <v>23.7290540289748</v>
      </c>
      <c r="AR322" s="31">
        <f t="shared" si="297"/>
        <v>-43.2089444820876</v>
      </c>
      <c r="AS322" t="str">
        <f t="shared" si="273"/>
        <v>-0,000272527472527473</v>
      </c>
      <c r="AT322" t="str">
        <f t="shared" si="274"/>
        <v>0,0154804271791368i</v>
      </c>
      <c r="AU322">
        <f t="shared" si="298"/>
        <v>0.0154804271791368</v>
      </c>
      <c r="AV322">
        <f t="shared" si="299"/>
        <v>1.5707963267949</v>
      </c>
      <c r="AW322" t="str">
        <f t="shared" si="275"/>
        <v>1+0,792569477655292i</v>
      </c>
      <c r="AX322">
        <f t="shared" si="300"/>
        <v>1.27599622919144</v>
      </c>
      <c r="AY322">
        <f t="shared" si="301"/>
        <v>0.670193684950956</v>
      </c>
      <c r="AZ322" t="str">
        <f t="shared" si="276"/>
        <v>1+37,8915663040731i</v>
      </c>
      <c r="BA322">
        <f t="shared" si="302"/>
        <v>37.9047595557071</v>
      </c>
      <c r="BB322">
        <f t="shared" si="303"/>
        <v>1.54441135432858</v>
      </c>
      <c r="BC322" s="30" t="str">
        <f t="shared" si="304"/>
        <v>-0,401135161797971+0,33553213372962i</v>
      </c>
      <c r="BD322" s="32">
        <f t="shared" si="305"/>
        <v>-5.63056594295943</v>
      </c>
      <c r="BE322" s="31">
        <f t="shared" si="306"/>
        <v>140.088982831101</v>
      </c>
      <c r="BF322" s="30" t="str">
        <f t="shared" si="307"/>
        <v>0,591469193327745+0,333552822889078i</v>
      </c>
      <c r="BG322" s="68">
        <f t="shared" si="308"/>
        <v>-3.36211195569834</v>
      </c>
      <c r="BH322" s="31">
        <f t="shared" si="309"/>
        <v>29.4203670213839</v>
      </c>
      <c r="BI322" s="30" t="str">
        <f t="shared" si="316"/>
        <v>-0,962384109746691+7,97601193653169i</v>
      </c>
      <c r="BJ322" s="68">
        <f t="shared" si="310"/>
        <v>18.0984880860154</v>
      </c>
      <c r="BK322" s="31">
        <f t="shared" si="317"/>
        <v>96.8800383490134</v>
      </c>
      <c r="BL322" s="32">
        <f t="shared" si="311"/>
        <v>-3.36211195569834</v>
      </c>
      <c r="BM322" s="31">
        <f t="shared" si="312"/>
        <v>29.4203670213839</v>
      </c>
      <c r="BO322">
        <f t="shared" si="313"/>
        <v>0</v>
      </c>
      <c r="BP322">
        <f t="shared" si="314"/>
        <v>0</v>
      </c>
    </row>
    <row r="323" spans="14:68">
      <c r="N323" s="7">
        <v>5</v>
      </c>
      <c r="O323" s="18">
        <f t="shared" si="318"/>
        <v>11220.1845430196</v>
      </c>
      <c r="P323" s="86" t="str">
        <f t="shared" si="265"/>
        <v>96,0576923076923</v>
      </c>
      <c r="Q323" s="4" t="str">
        <f t="shared" si="266"/>
        <v>1+94,1046497942952i</v>
      </c>
      <c r="R323" s="4">
        <f t="shared" si="277"/>
        <v>94.1099628780447</v>
      </c>
      <c r="S323" s="4">
        <f t="shared" si="278"/>
        <v>1.56017025928248</v>
      </c>
      <c r="T323" s="4" t="str">
        <f t="shared" si="267"/>
        <v>1+1,10541645906006i</v>
      </c>
      <c r="U323" s="4">
        <f t="shared" si="279"/>
        <v>1.49061918274282</v>
      </c>
      <c r="V323" s="4">
        <f t="shared" si="280"/>
        <v>0.835425558496071</v>
      </c>
      <c r="W323" t="str">
        <f t="shared" si="268"/>
        <v>1-0,524822156724942i</v>
      </c>
      <c r="X323" s="4">
        <f t="shared" si="281"/>
        <v>1.12935304320191</v>
      </c>
      <c r="Y323" s="4">
        <f t="shared" si="282"/>
        <v>-0.483307574782786</v>
      </c>
      <c r="Z323" t="str">
        <f t="shared" si="269"/>
        <v>0,99897230578629+0,899645020271424i</v>
      </c>
      <c r="AA323" s="4">
        <f t="shared" si="283"/>
        <v>1.34436112344383</v>
      </c>
      <c r="AB323" s="4">
        <f t="shared" si="284"/>
        <v>0.733130223095209</v>
      </c>
      <c r="AC323" s="67" t="str">
        <f t="shared" si="285"/>
        <v>-0,462653810225592-1,19146247814239i</v>
      </c>
      <c r="AD323" s="68">
        <f t="shared" si="286"/>
        <v>2.13154068385234</v>
      </c>
      <c r="AE323" s="31">
        <f t="shared" si="287"/>
        <v>-111.22156443813</v>
      </c>
      <c r="AF323" s="32" t="str">
        <f t="shared" si="288"/>
        <v>236,914774604583</v>
      </c>
      <c r="AG323" s="32" t="str">
        <f t="shared" si="270"/>
        <v>1+23,2388687416034i</v>
      </c>
      <c r="AH323" s="32">
        <f t="shared" si="289"/>
        <v>23.2603744679545</v>
      </c>
      <c r="AI323" s="32">
        <f t="shared" si="290"/>
        <v>1.52779150313192</v>
      </c>
      <c r="AJ323" s="32" t="str">
        <f t="shared" si="271"/>
        <v>1+1,10541645906006i</v>
      </c>
      <c r="AK323" s="32">
        <f t="shared" si="291"/>
        <v>1.49061918274282</v>
      </c>
      <c r="AL323" s="32">
        <f t="shared" si="292"/>
        <v>0.835425558496071</v>
      </c>
      <c r="AM323" s="32" t="str">
        <f t="shared" si="272"/>
        <v>1-0,0525464784418666i</v>
      </c>
      <c r="AN323" s="32">
        <f t="shared" si="293"/>
        <v>1.00137961453019</v>
      </c>
      <c r="AO323" s="32">
        <f t="shared" si="294"/>
        <v>-0.0524981958108513</v>
      </c>
      <c r="AP323" s="30" t="str">
        <f t="shared" si="295"/>
        <v>11,1772401370667-10,3059622925824i</v>
      </c>
      <c r="AQ323" s="32">
        <f t="shared" si="296"/>
        <v>23.63881790076</v>
      </c>
      <c r="AR323" s="31">
        <f t="shared" si="297"/>
        <v>-42.6775715582355</v>
      </c>
      <c r="AS323" t="str">
        <f t="shared" si="273"/>
        <v>-0,000272527472527473</v>
      </c>
      <c r="AT323" t="str">
        <f t="shared" si="274"/>
        <v>0,0158410126499231i</v>
      </c>
      <c r="AU323">
        <f t="shared" si="298"/>
        <v>0.0158410126499231</v>
      </c>
      <c r="AV323">
        <f t="shared" si="299"/>
        <v>1.5707963267949</v>
      </c>
      <c r="AW323" t="str">
        <f t="shared" si="275"/>
        <v>1+0,811030792380272i</v>
      </c>
      <c r="AX323">
        <f t="shared" si="300"/>
        <v>1.28754454143885</v>
      </c>
      <c r="AY323">
        <f t="shared" si="301"/>
        <v>0.681430936773699</v>
      </c>
      <c r="AZ323" t="str">
        <f t="shared" si="276"/>
        <v>1+38,7741742654993i</v>
      </c>
      <c r="BA323">
        <f t="shared" si="302"/>
        <v>38.7870673030497</v>
      </c>
      <c r="BB323">
        <f t="shared" si="303"/>
        <v>1.54501168036159</v>
      </c>
      <c r="BC323" s="30" t="str">
        <f t="shared" si="304"/>
        <v>-0,393971666916687+0,336727070554784i</v>
      </c>
      <c r="BD323" s="32">
        <f t="shared" si="305"/>
        <v>-5.70895941020861</v>
      </c>
      <c r="BE323" s="31">
        <f t="shared" si="306"/>
        <v>139.479531876355</v>
      </c>
      <c r="BF323" s="30" t="str">
        <f t="shared" si="307"/>
        <v>0,583470162760763+0,313614396384172i</v>
      </c>
      <c r="BG323" s="68">
        <f t="shared" si="308"/>
        <v>-3.57741872635627</v>
      </c>
      <c r="BH323" s="31">
        <f t="shared" si="309"/>
        <v>28.2579674382254</v>
      </c>
      <c r="BI323" s="30" t="str">
        <f t="shared" si="316"/>
        <v>-0,93321943629893+7,82393647183103i</v>
      </c>
      <c r="BJ323" s="68">
        <f t="shared" si="310"/>
        <v>17.9298584905514</v>
      </c>
      <c r="BK323" s="31">
        <f t="shared" si="317"/>
        <v>96.8019603181199</v>
      </c>
      <c r="BL323" s="32">
        <f t="shared" si="311"/>
        <v>-3.57741872635627</v>
      </c>
      <c r="BM323" s="31">
        <f t="shared" si="312"/>
        <v>28.2579674382254</v>
      </c>
      <c r="BO323">
        <f t="shared" si="313"/>
        <v>0</v>
      </c>
      <c r="BP323">
        <f t="shared" si="314"/>
        <v>0</v>
      </c>
    </row>
    <row r="324" spans="14:68">
      <c r="N324" s="7">
        <v>6</v>
      </c>
      <c r="O324" s="18">
        <f t="shared" si="318"/>
        <v>11481.5362149688</v>
      </c>
      <c r="P324" s="86" t="str">
        <f t="shared" si="265"/>
        <v>96,0576923076923</v>
      </c>
      <c r="Q324" s="4" t="str">
        <f t="shared" si="266"/>
        <v>1+96,2966286755368i</v>
      </c>
      <c r="R324" s="4">
        <f t="shared" si="277"/>
        <v>96.3018208253313</v>
      </c>
      <c r="S324" s="4">
        <f t="shared" si="278"/>
        <v>1.56041212051912</v>
      </c>
      <c r="T324" s="4" t="str">
        <f t="shared" si="267"/>
        <v>1+1,13116491610796i</v>
      </c>
      <c r="U324" s="4">
        <f t="shared" si="279"/>
        <v>1.5098125934809</v>
      </c>
      <c r="V324" s="4">
        <f t="shared" si="280"/>
        <v>0.84686674157216</v>
      </c>
      <c r="W324" t="str">
        <f t="shared" si="268"/>
        <v>1-0,537046835170305i</v>
      </c>
      <c r="X324" s="4">
        <f t="shared" si="281"/>
        <v>1.13508559288119</v>
      </c>
      <c r="Y324" s="4">
        <f t="shared" si="282"/>
        <v>-0.492844001795283</v>
      </c>
      <c r="Z324" t="str">
        <f t="shared" si="269"/>
        <v>0,998923872050158+0,920600444784025i</v>
      </c>
      <c r="AA324" s="4">
        <f t="shared" si="283"/>
        <v>1.3584381035175</v>
      </c>
      <c r="AB324" s="4">
        <f t="shared" si="284"/>
        <v>0.744617224984332</v>
      </c>
      <c r="AC324" s="67" t="str">
        <f t="shared" si="285"/>
        <v>-0,467002090379748-1,16850848754121i</v>
      </c>
      <c r="AD324" s="68">
        <f t="shared" si="286"/>
        <v>1.99618900881938</v>
      </c>
      <c r="AE324" s="31">
        <f t="shared" si="287"/>
        <v>-111.784444310277</v>
      </c>
      <c r="AF324" s="32" t="str">
        <f t="shared" si="288"/>
        <v>236,914774604583</v>
      </c>
      <c r="AG324" s="32" t="str">
        <f t="shared" si="270"/>
        <v>1+23,780171531815i</v>
      </c>
      <c r="AH324" s="32">
        <f t="shared" si="289"/>
        <v>23.8011881653531</v>
      </c>
      <c r="AI324" s="32">
        <f t="shared" si="290"/>
        <v>1.52876924676149</v>
      </c>
      <c r="AJ324" s="32" t="str">
        <f t="shared" si="271"/>
        <v>1+1,13116491610796i</v>
      </c>
      <c r="AK324" s="32">
        <f t="shared" si="291"/>
        <v>1.5098125934809</v>
      </c>
      <c r="AL324" s="32">
        <f t="shared" si="292"/>
        <v>0.84686674157216</v>
      </c>
      <c r="AM324" s="32" t="str">
        <f t="shared" si="272"/>
        <v>1-0,0537704431585938i</v>
      </c>
      <c r="AN324" s="32">
        <f t="shared" si="293"/>
        <v>1.00144458686313</v>
      </c>
      <c r="AO324" s="32">
        <f t="shared" si="294"/>
        <v>-0.0537187114171296</v>
      </c>
      <c r="AP324" s="30" t="str">
        <f t="shared" si="295"/>
        <v>11,1584603544038-10,0994325396565i</v>
      </c>
      <c r="AQ324" s="32">
        <f t="shared" si="296"/>
        <v>23.5508694887454</v>
      </c>
      <c r="AR324" s="31">
        <f t="shared" si="297"/>
        <v>-42.1479910318293</v>
      </c>
      <c r="AS324" t="str">
        <f t="shared" si="273"/>
        <v>-0,000272527472527473</v>
      </c>
      <c r="AT324" t="str">
        <f t="shared" si="274"/>
        <v>0,0162099972352971i</v>
      </c>
      <c r="AU324">
        <f t="shared" si="298"/>
        <v>0.0162099972352971</v>
      </c>
      <c r="AV324">
        <f t="shared" si="299"/>
        <v>1.5707963267949</v>
      </c>
      <c r="AW324" t="str">
        <f t="shared" si="275"/>
        <v>1+0,829922126366639i</v>
      </c>
      <c r="AX324">
        <f t="shared" si="300"/>
        <v>1.29952712008366</v>
      </c>
      <c r="AY324">
        <f t="shared" si="301"/>
        <v>0.692721724547643</v>
      </c>
      <c r="AZ324" t="str">
        <f t="shared" si="276"/>
        <v>1+39,6773408073582i</v>
      </c>
      <c r="BA324">
        <f t="shared" si="302"/>
        <v>39.6899404577942</v>
      </c>
      <c r="BB324">
        <f t="shared" si="303"/>
        <v>1.54559835926882</v>
      </c>
      <c r="BC324" s="30" t="str">
        <f t="shared" si="304"/>
        <v>-0,386739756426438+0,337776189394352i</v>
      </c>
      <c r="BD324" s="32">
        <f t="shared" si="305"/>
        <v>-5.78955104386885</v>
      </c>
      <c r="BE324" s="31">
        <f t="shared" si="306"/>
        <v>138.866231614844</v>
      </c>
      <c r="BF324" s="30" t="str">
        <f t="shared" si="307"/>
        <v>0,575302618880729+0,294166501326245i</v>
      </c>
      <c r="BG324" s="68">
        <f t="shared" si="308"/>
        <v>-3.79336203504946</v>
      </c>
      <c r="BH324" s="31">
        <f t="shared" si="309"/>
        <v>27.0817873045672</v>
      </c>
      <c r="BI324" s="30" t="str">
        <f t="shared" si="316"/>
        <v>-0,904072401265696+7,67491429845046i</v>
      </c>
      <c r="BJ324" s="68">
        <f t="shared" si="310"/>
        <v>17.7613184448765</v>
      </c>
      <c r="BK324" s="31">
        <f t="shared" si="317"/>
        <v>96.7182405830151</v>
      </c>
      <c r="BL324" s="32">
        <f t="shared" si="311"/>
        <v>-3.79336203504946</v>
      </c>
      <c r="BM324" s="31">
        <f t="shared" si="312"/>
        <v>27.0817873045672</v>
      </c>
      <c r="BO324">
        <f t="shared" si="313"/>
        <v>0</v>
      </c>
      <c r="BP324">
        <f t="shared" si="314"/>
        <v>0</v>
      </c>
    </row>
    <row r="325" spans="14:68">
      <c r="N325" s="7">
        <v>7</v>
      </c>
      <c r="O325" s="18">
        <f t="shared" si="318"/>
        <v>11748.9755493953</v>
      </c>
      <c r="P325" s="86" t="str">
        <f t="shared" si="265"/>
        <v>96,0576923076923</v>
      </c>
      <c r="Q325" s="4" t="str">
        <f t="shared" si="266"/>
        <v>1+98,5396653039389i</v>
      </c>
      <c r="R325" s="4">
        <f t="shared" si="277"/>
        <v>98.5447392721311</v>
      </c>
      <c r="S325" s="4">
        <f t="shared" si="278"/>
        <v>1.56064847749585</v>
      </c>
      <c r="T325" s="4" t="str">
        <f t="shared" si="267"/>
        <v>1+1,15751313176712i</v>
      </c>
      <c r="U325" s="4">
        <f t="shared" si="279"/>
        <v>1.52965246059794</v>
      </c>
      <c r="V325" s="4">
        <f t="shared" si="280"/>
        <v>0.85827566900749</v>
      </c>
      <c r="W325" t="str">
        <f t="shared" si="268"/>
        <v>1-0,549556262956331i</v>
      </c>
      <c r="X325" s="4">
        <f t="shared" si="281"/>
        <v>1.14105744209243</v>
      </c>
      <c r="Y325" s="4">
        <f t="shared" si="282"/>
        <v>-0.502502466062517</v>
      </c>
      <c r="Z325" t="str">
        <f t="shared" si="269"/>
        <v>0,998873155702365+0,94204398383804i</v>
      </c>
      <c r="AA325" s="4">
        <f t="shared" si="283"/>
        <v>1.37302383397676</v>
      </c>
      <c r="AB325" s="4">
        <f t="shared" si="284"/>
        <v>0.756126980549069</v>
      </c>
      <c r="AC325" s="67" t="str">
        <f t="shared" si="285"/>
        <v>-0,471343249684426-1,14599617004527i</v>
      </c>
      <c r="AD325" s="68">
        <f t="shared" si="286"/>
        <v>1.86241811014359</v>
      </c>
      <c r="AE325" s="31">
        <f t="shared" si="287"/>
        <v>-112.357152832864</v>
      </c>
      <c r="AF325" s="32" t="str">
        <f t="shared" si="288"/>
        <v>236,914774604583</v>
      </c>
      <c r="AG325" s="32" t="str">
        <f t="shared" si="270"/>
        <v>1+24,3340828837407i</v>
      </c>
      <c r="AH325" s="32">
        <f t="shared" si="289"/>
        <v>24.3546215284238</v>
      </c>
      <c r="AI325" s="32">
        <f t="shared" si="290"/>
        <v>1.5297248119261</v>
      </c>
      <c r="AJ325" s="32" t="str">
        <f t="shared" si="271"/>
        <v>1+1,15751313176712i</v>
      </c>
      <c r="AK325" s="32">
        <f t="shared" si="291"/>
        <v>1.52965246059794</v>
      </c>
      <c r="AL325" s="32">
        <f t="shared" si="292"/>
        <v>0.85827566900749</v>
      </c>
      <c r="AM325" s="32" t="str">
        <f t="shared" si="272"/>
        <v>1-0,0550229176760197i</v>
      </c>
      <c r="AN325" s="32">
        <f t="shared" si="293"/>
        <v>1.0015126167301</v>
      </c>
      <c r="AO325" s="32">
        <f t="shared" si="294"/>
        <v>-0.0549674906369726</v>
      </c>
      <c r="AP325" s="30" t="str">
        <f t="shared" si="295"/>
        <v>11,1405228840556-9,89818665366822i</v>
      </c>
      <c r="AQ325" s="32">
        <f t="shared" si="296"/>
        <v>23.4651990934364</v>
      </c>
      <c r="AR325" s="31">
        <f t="shared" si="297"/>
        <v>-41.6206072708365</v>
      </c>
      <c r="AS325" t="str">
        <f t="shared" si="273"/>
        <v>-0,000272527472527473</v>
      </c>
      <c r="AT325" t="str">
        <f t="shared" si="274"/>
        <v>0,01658757657577i</v>
      </c>
      <c r="AU325">
        <f t="shared" si="298"/>
        <v>0.01658757657577</v>
      </c>
      <c r="AV325">
        <f t="shared" si="299"/>
        <v>1.5707963267949</v>
      </c>
      <c r="AW325" t="str">
        <f t="shared" si="275"/>
        <v>1+0,849253496049726i</v>
      </c>
      <c r="AX325">
        <f t="shared" si="300"/>
        <v>1.31195712603449</v>
      </c>
      <c r="AY325">
        <f t="shared" si="301"/>
        <v>0.704060520556142</v>
      </c>
      <c r="AZ325" t="str">
        <f t="shared" si="276"/>
        <v>1+40,6015448005049i</v>
      </c>
      <c r="BA325">
        <f t="shared" si="302"/>
        <v>40.6138577358444</v>
      </c>
      <c r="BB325">
        <f t="shared" si="303"/>
        <v>1.54617170049883</v>
      </c>
      <c r="BC325" s="30" t="str">
        <f t="shared" si="304"/>
        <v>-0,379446217912237+0,338675640654106i</v>
      </c>
      <c r="BD325" s="32">
        <f t="shared" si="305"/>
        <v>-5.87236103692902</v>
      </c>
      <c r="BE325" s="31">
        <f t="shared" si="306"/>
        <v>138.249416491498</v>
      </c>
      <c r="BF325" s="30" t="str">
        <f t="shared" si="307"/>
        <v>0,566970400508452+0,275211435410725i</v>
      </c>
      <c r="BG325" s="68">
        <f t="shared" si="308"/>
        <v>-4.00994292678544</v>
      </c>
      <c r="BH325" s="31">
        <f t="shared" si="309"/>
        <v>25.8922636586342</v>
      </c>
      <c r="BI325" s="30" t="str">
        <f t="shared" si="316"/>
        <v>-0,874954567674617+7,52885321490305i</v>
      </c>
      <c r="BJ325" s="68">
        <f t="shared" si="310"/>
        <v>17.5928380565074</v>
      </c>
      <c r="BK325" s="31">
        <f t="shared" si="317"/>
        <v>96.6288092206617</v>
      </c>
      <c r="BL325" s="32">
        <f t="shared" si="311"/>
        <v>-4.00994292678544</v>
      </c>
      <c r="BM325" s="31">
        <f t="shared" si="312"/>
        <v>25.8922636586342</v>
      </c>
      <c r="BO325">
        <f t="shared" si="313"/>
        <v>0</v>
      </c>
      <c r="BP325">
        <f t="shared" si="314"/>
        <v>0</v>
      </c>
    </row>
    <row r="326" spans="14:68">
      <c r="N326" s="7">
        <v>8</v>
      </c>
      <c r="O326" s="18">
        <f t="shared" si="318"/>
        <v>12022.6443461742</v>
      </c>
      <c r="P326" s="86" t="str">
        <f t="shared" si="265"/>
        <v>96,0576923076923</v>
      </c>
      <c r="Q326" s="4" t="str">
        <f t="shared" si="266"/>
        <v>1+100,834948967212i</v>
      </c>
      <c r="R326" s="4">
        <f t="shared" si="277"/>
        <v>100.839907443533</v>
      </c>
      <c r="S326" s="4">
        <f t="shared" si="278"/>
        <v>1.56087945542657</v>
      </c>
      <c r="T326" s="4" t="str">
        <f t="shared" si="267"/>
        <v>1+1,18447507621026i</v>
      </c>
      <c r="U326" s="4">
        <f t="shared" si="279"/>
        <v>1.5501552200226</v>
      </c>
      <c r="V326" s="4">
        <f t="shared" si="280"/>
        <v>0.869646510655617</v>
      </c>
      <c r="W326" t="str">
        <f t="shared" si="268"/>
        <v>1-0,562357072747217i</v>
      </c>
      <c r="X326" s="4">
        <f t="shared" si="281"/>
        <v>1.14727741948877</v>
      </c>
      <c r="Y326" s="4">
        <f t="shared" si="282"/>
        <v>-0.512280879861718</v>
      </c>
      <c r="Z326" t="str">
        <f t="shared" si="269"/>
        <v>0,998820049166738+0,963987007081717i</v>
      </c>
      <c r="AA326" s="4">
        <f t="shared" si="283"/>
        <v>1.38813271715633</v>
      </c>
      <c r="AB326" s="4">
        <f t="shared" si="284"/>
        <v>0.767653481924957</v>
      </c>
      <c r="AC326" s="67" t="str">
        <f t="shared" si="285"/>
        <v>-0,475674238498373-1,12391273112688i</v>
      </c>
      <c r="AD326" s="68">
        <f t="shared" si="286"/>
        <v>1.73024706571995</v>
      </c>
      <c r="AE326" s="31">
        <f t="shared" si="287"/>
        <v>-112.939567379922</v>
      </c>
      <c r="AF326" s="32" t="str">
        <f t="shared" si="288"/>
        <v>236,914774604583</v>
      </c>
      <c r="AG326" s="32" t="str">
        <f t="shared" si="270"/>
        <v>1+24,900896488511i</v>
      </c>
      <c r="AH326" s="32">
        <f t="shared" si="289"/>
        <v>24.9209679974824</v>
      </c>
      <c r="AI326" s="32">
        <f t="shared" si="290"/>
        <v>1.53065869829482</v>
      </c>
      <c r="AJ326" s="32" t="str">
        <f t="shared" si="271"/>
        <v>1+1,18447507621026i</v>
      </c>
      <c r="AK326" s="32">
        <f t="shared" si="291"/>
        <v>1.5501552200226</v>
      </c>
      <c r="AL326" s="32">
        <f t="shared" si="292"/>
        <v>0.869646510655617</v>
      </c>
      <c r="AM326" s="32" t="str">
        <f t="shared" si="272"/>
        <v>1-0,0563045660727122i</v>
      </c>
      <c r="AN326" s="32">
        <f t="shared" si="293"/>
        <v>1.0015838477934</v>
      </c>
      <c r="AO326" s="32">
        <f t="shared" si="294"/>
        <v>-0.0562451800015585</v>
      </c>
      <c r="AP326" s="30" t="str">
        <f t="shared" si="295"/>
        <v>11,1233900717653-9,70212265358355i</v>
      </c>
      <c r="AQ326" s="32">
        <f t="shared" si="296"/>
        <v>23.3817947415745</v>
      </c>
      <c r="AR326" s="31">
        <f t="shared" si="297"/>
        <v>-41.0958199904788</v>
      </c>
      <c r="AS326" t="str">
        <f t="shared" si="273"/>
        <v>-0,000272527472527473</v>
      </c>
      <c r="AT326" t="str">
        <f t="shared" si="274"/>
        <v>0,0169739508689059i</v>
      </c>
      <c r="AU326">
        <f t="shared" si="298"/>
        <v>0.0169739508689059</v>
      </c>
      <c r="AV326">
        <f t="shared" si="299"/>
        <v>1.5707963267949</v>
      </c>
      <c r="AW326" t="str">
        <f t="shared" si="275"/>
        <v>1+0,869035151177622i</v>
      </c>
      <c r="AX326">
        <f t="shared" si="300"/>
        <v>1.32484795126924</v>
      </c>
      <c r="AY326">
        <f t="shared" si="301"/>
        <v>0.715441675100004</v>
      </c>
      <c r="AZ326" t="str">
        <f t="shared" si="276"/>
        <v>1+41,5472762701301i</v>
      </c>
      <c r="BA326">
        <f t="shared" si="302"/>
        <v>41.5593090109366</v>
      </c>
      <c r="BB326">
        <f t="shared" si="303"/>
        <v>1.54673200653612</v>
      </c>
      <c r="BC326" s="30" t="str">
        <f t="shared" si="304"/>
        <v>-0,372098086775052+0,339421946960206i</v>
      </c>
      <c r="BD326" s="32">
        <f t="shared" si="305"/>
        <v>-5.95740745293019</v>
      </c>
      <c r="BE326" s="31">
        <f t="shared" si="306"/>
        <v>137.629427541321</v>
      </c>
      <c r="BF326" s="30" t="str">
        <f t="shared" si="307"/>
        <v>0,558478121485873+0,256751500804504i</v>
      </c>
      <c r="BG326" s="68">
        <f t="shared" si="308"/>
        <v>-4.22716038721024</v>
      </c>
      <c r="BH326" s="31">
        <f t="shared" si="309"/>
        <v>24.6898601613985</v>
      </c>
      <c r="BI326" s="30" t="str">
        <f t="shared" si="316"/>
        <v>-0,845878803430428+7,38566399201173i</v>
      </c>
      <c r="BJ326" s="68">
        <f t="shared" si="310"/>
        <v>17.4243872886443</v>
      </c>
      <c r="BK326" s="31">
        <f t="shared" si="317"/>
        <v>96.5336075508421</v>
      </c>
      <c r="BL326" s="32">
        <f t="shared" si="311"/>
        <v>-4.22716038721024</v>
      </c>
      <c r="BM326" s="31">
        <f t="shared" si="312"/>
        <v>24.6898601613985</v>
      </c>
      <c r="BO326">
        <f t="shared" si="313"/>
        <v>0</v>
      </c>
      <c r="BP326">
        <f t="shared" si="314"/>
        <v>0</v>
      </c>
    </row>
    <row r="327" spans="14:68">
      <c r="N327" s="7">
        <v>9</v>
      </c>
      <c r="O327" s="18">
        <f t="shared" si="318"/>
        <v>12302.6877081238</v>
      </c>
      <c r="P327" s="86" t="str">
        <f t="shared" si="265"/>
        <v>96,0576923076923</v>
      </c>
      <c r="Q327" s="4" t="str">
        <f t="shared" si="266"/>
        <v>1+103,183696655135i</v>
      </c>
      <c r="R327" s="4">
        <f t="shared" si="277"/>
        <v>103.188542268117</v>
      </c>
      <c r="S327" s="4">
        <f t="shared" si="278"/>
        <v>1.5611051766802</v>
      </c>
      <c r="T327" s="4" t="str">
        <f t="shared" si="267"/>
        <v>1+1,21206504501716i</v>
      </c>
      <c r="U327" s="4">
        <f t="shared" si="279"/>
        <v>1.57133754278082</v>
      </c>
      <c r="V327" s="4">
        <f t="shared" si="280"/>
        <v>0.880973534696913</v>
      </c>
      <c r="W327" t="str">
        <f t="shared" si="268"/>
        <v>1-0,575456051701741i</v>
      </c>
      <c r="X327" s="4">
        <f t="shared" si="281"/>
        <v>1.1537545958479</v>
      </c>
      <c r="Y327" s="4">
        <f t="shared" si="282"/>
        <v>-0.522176947227324</v>
      </c>
      <c r="Z327" t="str">
        <f t="shared" si="269"/>
        <v>0,998764439797195+0,986441148996411i</v>
      </c>
      <c r="AA327" s="4">
        <f t="shared" si="283"/>
        <v>1.4037793796166</v>
      </c>
      <c r="AB327" s="4">
        <f t="shared" si="284"/>
        <v>0.779190679101587</v>
      </c>
      <c r="AC327" s="67" t="str">
        <f t="shared" si="285"/>
        <v>-0,479991916766241-1,10224588080448i</v>
      </c>
      <c r="AD327" s="68">
        <f t="shared" si="286"/>
        <v>1.59969487730555</v>
      </c>
      <c r="AE327" s="31">
        <f t="shared" si="287"/>
        <v>-113.53154518255</v>
      </c>
      <c r="AF327" s="32" t="str">
        <f t="shared" si="288"/>
        <v>236,914774604583</v>
      </c>
      <c r="AG327" s="32" t="str">
        <f t="shared" si="270"/>
        <v>1+25,4809128782016i</v>
      </c>
      <c r="AH327" s="32">
        <f t="shared" si="289"/>
        <v>25.5005278593699</v>
      </c>
      <c r="AI327" s="32">
        <f t="shared" si="290"/>
        <v>1.53157139450698</v>
      </c>
      <c r="AJ327" s="32" t="str">
        <f t="shared" si="271"/>
        <v>1+1,21206504501716i</v>
      </c>
      <c r="AK327" s="32">
        <f t="shared" si="291"/>
        <v>1.57133754278082</v>
      </c>
      <c r="AL327" s="32">
        <f t="shared" si="292"/>
        <v>0.880973534696913</v>
      </c>
      <c r="AM327" s="32" t="str">
        <f t="shared" si="272"/>
        <v>1-0,0576160678956147i</v>
      </c>
      <c r="AN327" s="32">
        <f t="shared" si="293"/>
        <v>1.00165843044411</v>
      </c>
      <c r="AO327" s="32">
        <f t="shared" si="294"/>
        <v>-0.0575524402627272</v>
      </c>
      <c r="AP327" s="30" t="str">
        <f t="shared" si="295"/>
        <v>11,1070259355487-9,51114099240074i</v>
      </c>
      <c r="AQ327" s="32">
        <f t="shared" si="296"/>
        <v>23.3006422476554</v>
      </c>
      <c r="AR327" s="31">
        <f t="shared" si="297"/>
        <v>-40.5740234550938</v>
      </c>
      <c r="AS327" t="str">
        <f t="shared" si="273"/>
        <v>-0,000272527472527473</v>
      </c>
      <c r="AT327" t="str">
        <f t="shared" si="274"/>
        <v>0,0173693249754691i</v>
      </c>
      <c r="AU327">
        <f t="shared" si="298"/>
        <v>0.0173693249754691</v>
      </c>
      <c r="AV327">
        <f t="shared" si="299"/>
        <v>1.5707963267949</v>
      </c>
      <c r="AW327" t="str">
        <f t="shared" si="275"/>
        <v>1+0,8892775802457i</v>
      </c>
      <c r="AX327">
        <f t="shared" si="300"/>
        <v>1.33821321721452</v>
      </c>
      <c r="AY327">
        <f t="shared" si="301"/>
        <v>0.726859429812753</v>
      </c>
      <c r="AZ327" t="str">
        <f t="shared" si="276"/>
        <v>1+42,5150366555763i</v>
      </c>
      <c r="BA327">
        <f t="shared" si="302"/>
        <v>42.5267955743787</v>
      </c>
      <c r="BB327">
        <f t="shared" si="303"/>
        <v>1.54727957305432</v>
      </c>
      <c r="BC327" s="30" t="str">
        <f t="shared" si="304"/>
        <v>-0,364702620620195+0,340012023086069i</v>
      </c>
      <c r="BD327" s="32">
        <f t="shared" si="305"/>
        <v>-6.04470615450189</v>
      </c>
      <c r="BE327" s="31">
        <f t="shared" si="306"/>
        <v>137.00661163526</v>
      </c>
      <c r="BF327" s="30" t="str">
        <f t="shared" si="307"/>
        <v>0,549831161791776+0,238788938612559i</v>
      </c>
      <c r="BG327" s="68">
        <f t="shared" si="308"/>
        <v>-4.44501127719634</v>
      </c>
      <c r="BH327" s="31">
        <f t="shared" si="309"/>
        <v>23.47506645271</v>
      </c>
      <c r="BI327" s="30" t="str">
        <f t="shared" si="316"/>
        <v>-0,816859175308066+7,24526040383206i</v>
      </c>
      <c r="BJ327" s="68">
        <f t="shared" si="310"/>
        <v>17.2559360931535</v>
      </c>
      <c r="BK327" s="31">
        <f t="shared" si="317"/>
        <v>96.4325881801662</v>
      </c>
      <c r="BL327" s="32">
        <f t="shared" si="311"/>
        <v>-4.44501127719634</v>
      </c>
      <c r="BM327" s="31">
        <f t="shared" si="312"/>
        <v>23.47506645271</v>
      </c>
      <c r="BO327">
        <f t="shared" si="313"/>
        <v>0</v>
      </c>
      <c r="BP327">
        <f t="shared" si="314"/>
        <v>0</v>
      </c>
    </row>
    <row r="328" spans="14:68">
      <c r="N328" s="7">
        <v>10</v>
      </c>
      <c r="O328" s="18">
        <f t="shared" si="318"/>
        <v>12589.2541179417</v>
      </c>
      <c r="P328" s="86" t="str">
        <f t="shared" si="265"/>
        <v>96,0576923076923</v>
      </c>
      <c r="Q328" s="4" t="str">
        <f t="shared" si="266"/>
        <v>1+105,587153704823i</v>
      </c>
      <c r="R328" s="4">
        <f t="shared" si="277"/>
        <v>105.591889023191</v>
      </c>
      <c r="S328" s="4">
        <f t="shared" si="278"/>
        <v>1.56132576084508</v>
      </c>
      <c r="T328" s="4" t="str">
        <f t="shared" si="267"/>
        <v>1+1,24029766675452i</v>
      </c>
      <c r="U328" s="4">
        <f t="shared" si="279"/>
        <v>1.59321633878036</v>
      </c>
      <c r="V328" s="4">
        <f t="shared" si="280"/>
        <v>0.892251121458909</v>
      </c>
      <c r="W328" t="str">
        <f t="shared" si="268"/>
        <v>1-0,588860145071945i</v>
      </c>
      <c r="X328" s="4">
        <f t="shared" si="281"/>
        <v>1.16049828541629</v>
      </c>
      <c r="Y328" s="4">
        <f t="shared" si="282"/>
        <v>-0.532188161383704</v>
      </c>
      <c r="Z328" t="str">
        <f t="shared" si="269"/>
        <v>0,998706209638807+1,00941831506541i</v>
      </c>
      <c r="AA328" s="4">
        <f t="shared" si="283"/>
        <v>1.41997867165694</v>
      </c>
      <c r="AB328" s="4">
        <f t="shared" si="284"/>
        <v>0.790732495850413</v>
      </c>
      <c r="AC328" s="67" t="str">
        <f t="shared" si="285"/>
        <v>-0,484293073142144-1,0809838307957i</v>
      </c>
      <c r="AD328" s="68">
        <f t="shared" si="286"/>
        <v>1.47078045906363</v>
      </c>
      <c r="AE328" s="31">
        <f t="shared" si="287"/>
        <v>-114.132923306253</v>
      </c>
      <c r="AF328" s="32" t="str">
        <f t="shared" si="288"/>
        <v>236,914774604583</v>
      </c>
      <c r="AG328" s="32" t="str">
        <f t="shared" si="270"/>
        <v>1+26,0744395851802i</v>
      </c>
      <c r="AH328" s="32">
        <f t="shared" si="289"/>
        <v>26.093608406681</v>
      </c>
      <c r="AI328" s="32">
        <f t="shared" si="290"/>
        <v>1.53246337840041</v>
      </c>
      <c r="AJ328" s="32" t="str">
        <f t="shared" si="271"/>
        <v>1+1,24029766675452i</v>
      </c>
      <c r="AK328" s="32">
        <f t="shared" si="291"/>
        <v>1.59321633878036</v>
      </c>
      <c r="AL328" s="32">
        <f t="shared" si="292"/>
        <v>0.892251121458909</v>
      </c>
      <c r="AM328" s="32" t="str">
        <f t="shared" si="272"/>
        <v>1-0,0589581185203548i</v>
      </c>
      <c r="AN328" s="32">
        <f t="shared" si="293"/>
        <v>1.0017365221152</v>
      </c>
      <c r="AO328" s="32">
        <f t="shared" si="294"/>
        <v>-0.0588899466649355</v>
      </c>
      <c r="AP328" s="30" t="str">
        <f t="shared" si="295"/>
        <v>11,091396092396-9,32514452510614i</v>
      </c>
      <c r="AQ328" s="32">
        <f t="shared" si="296"/>
        <v>23.2217252840481</v>
      </c>
      <c r="AR328" s="31">
        <f t="shared" si="297"/>
        <v>-40.0556057149442</v>
      </c>
      <c r="AS328" t="str">
        <f t="shared" si="273"/>
        <v>-0,000272527472527473</v>
      </c>
      <c r="AT328" t="str">
        <f t="shared" si="274"/>
        <v>0,0177739085280447i</v>
      </c>
      <c r="AU328">
        <f t="shared" si="298"/>
        <v>0.0177739085280447</v>
      </c>
      <c r="AV328">
        <f t="shared" si="299"/>
        <v>1.5707963267949</v>
      </c>
      <c r="AW328" t="str">
        <f t="shared" si="275"/>
        <v>1+0,909991516057813i</v>
      </c>
      <c r="AX328">
        <f t="shared" si="300"/>
        <v>1.3520667732391</v>
      </c>
      <c r="AY328">
        <f t="shared" si="301"/>
        <v>0.738307931645276</v>
      </c>
      <c r="AZ328" t="str">
        <f t="shared" si="276"/>
        <v>1+43,5053390762107i</v>
      </c>
      <c r="BA328">
        <f t="shared" si="302"/>
        <v>43.5168304008468</v>
      </c>
      <c r="BB328">
        <f t="shared" si="303"/>
        <v>1.54781468906628</v>
      </c>
      <c r="BC328" s="30" t="str">
        <f t="shared" si="304"/>
        <v>-0,357267271754217+0,340443193748104i</v>
      </c>
      <c r="BD328" s="32">
        <f t="shared" si="305"/>
        <v>-6.13427074001168</v>
      </c>
      <c r="BE328" s="31">
        <f t="shared" si="306"/>
        <v>136.381320687544</v>
      </c>
      <c r="BF328" s="30" t="str">
        <f t="shared" si="307"/>
        <v>0,541035652717107+0,221325863508206i</v>
      </c>
      <c r="BG328" s="68">
        <f t="shared" si="308"/>
        <v>-4.66349028094806</v>
      </c>
      <c r="BH328" s="31">
        <f t="shared" si="309"/>
        <v>22.2483973812912</v>
      </c>
      <c r="BI328" s="30" t="str">
        <f t="shared" si="316"/>
        <v>-0,787910837585922+7,10755925201898i</v>
      </c>
      <c r="BJ328" s="68">
        <f t="shared" si="310"/>
        <v>17.0874545440364</v>
      </c>
      <c r="BK328" s="31">
        <f t="shared" si="317"/>
        <v>96.3257149726001</v>
      </c>
      <c r="BL328" s="32">
        <f t="shared" si="311"/>
        <v>-4.66349028094806</v>
      </c>
      <c r="BM328" s="31">
        <f t="shared" si="312"/>
        <v>22.2483973812912</v>
      </c>
      <c r="BO328">
        <f t="shared" si="313"/>
        <v>0</v>
      </c>
      <c r="BP328">
        <f t="shared" si="314"/>
        <v>0</v>
      </c>
    </row>
    <row r="329" spans="14:68">
      <c r="N329" s="7">
        <v>11</v>
      </c>
      <c r="O329" s="18">
        <f t="shared" si="318"/>
        <v>12882.4955169314</v>
      </c>
      <c r="P329" s="86" t="str">
        <f t="shared" si="265"/>
        <v>96,0576923076923</v>
      </c>
      <c r="Q329" s="4" t="str">
        <f t="shared" si="266"/>
        <v>1+108,046594461017i</v>
      </c>
      <c r="R329" s="4">
        <f t="shared" si="277"/>
        <v>108.051221995049</v>
      </c>
      <c r="S329" s="4">
        <f t="shared" si="278"/>
        <v>1.56154132479194</v>
      </c>
      <c r="T329" s="4" t="str">
        <f t="shared" si="267"/>
        <v>1+1,26918791073207i</v>
      </c>
      <c r="U329" s="4">
        <f t="shared" si="279"/>
        <v>1.61580876119312</v>
      </c>
      <c r="V329" s="4">
        <f t="shared" si="280"/>
        <v>0.903473776548129</v>
      </c>
      <c r="W329" t="str">
        <f t="shared" si="268"/>
        <v>1-0,602576459885551i</v>
      </c>
      <c r="X329" s="4">
        <f t="shared" si="281"/>
        <v>1.16751804697324</v>
      </c>
      <c r="Y329" s="4">
        <f t="shared" si="282"/>
        <v>-0.542311802877367</v>
      </c>
      <c r="Z329" t="str">
        <f t="shared" si="269"/>
        <v>0,998645235177602+1,03293068808628i</v>
      </c>
      <c r="AA329" s="4">
        <f t="shared" si="283"/>
        <v>1.43674566717054</v>
      </c>
      <c r="AB329" s="4">
        <f t="shared" si="284"/>
        <v>0.802272845823708</v>
      </c>
      <c r="AC329" s="67" t="str">
        <f t="shared" si="285"/>
        <v>-0,488574444280694-1,0601152902945i</v>
      </c>
      <c r="AD329" s="68">
        <f t="shared" si="286"/>
        <v>1.34352262028371</v>
      </c>
      <c r="AE329" s="31">
        <f t="shared" si="287"/>
        <v>-114.743518717544</v>
      </c>
      <c r="AF329" s="32" t="str">
        <f t="shared" si="288"/>
        <v>236,914774604583</v>
      </c>
      <c r="AG329" s="32" t="str">
        <f t="shared" si="270"/>
        <v>1+26,6817913051629i</v>
      </c>
      <c r="AH329" s="32">
        <f t="shared" si="289"/>
        <v>26.7005241007038</v>
      </c>
      <c r="AI329" s="32">
        <f t="shared" si="290"/>
        <v>1.53333511723599</v>
      </c>
      <c r="AJ329" s="32" t="str">
        <f t="shared" si="271"/>
        <v>1+1,26918791073207i</v>
      </c>
      <c r="AK329" s="32">
        <f t="shared" si="291"/>
        <v>1.61580876119312</v>
      </c>
      <c r="AL329" s="32">
        <f t="shared" si="292"/>
        <v>0.903473776548129</v>
      </c>
      <c r="AM329" s="32" t="str">
        <f t="shared" si="272"/>
        <v>1-0,0603314295199374i</v>
      </c>
      <c r="AN329" s="32">
        <f t="shared" si="293"/>
        <v>1.00181828760905</v>
      </c>
      <c r="AO329" s="32">
        <f t="shared" si="294"/>
        <v>-0.0602583892193842</v>
      </c>
      <c r="AP329" s="30" t="str">
        <f t="shared" si="295"/>
        <v>11,0764676880977-9,14403847654013i</v>
      </c>
      <c r="AQ329" s="32">
        <f t="shared" si="296"/>
        <v>23.1450254591541</v>
      </c>
      <c r="AR329" s="31">
        <f t="shared" si="297"/>
        <v>-39.5409478823931</v>
      </c>
      <c r="AS329" t="str">
        <f t="shared" si="273"/>
        <v>-0,000272527472527473</v>
      </c>
      <c r="AT329" t="str">
        <f t="shared" si="274"/>
        <v>0,0181879160421873i</v>
      </c>
      <c r="AU329">
        <f t="shared" si="298"/>
        <v>0.0181879160421873</v>
      </c>
      <c r="AV329">
        <f t="shared" si="299"/>
        <v>1.5707963267949</v>
      </c>
      <c r="AW329" t="str">
        <f t="shared" si="275"/>
        <v>1+0,931187941416903i</v>
      </c>
      <c r="AX329">
        <f t="shared" si="300"/>
        <v>1.36642269530342</v>
      </c>
      <c r="AY329">
        <f t="shared" si="301"/>
        <v>0.749781247440876</v>
      </c>
      <c r="AZ329" t="str">
        <f t="shared" si="276"/>
        <v>1+44,5187086034846i</v>
      </c>
      <c r="BA329">
        <f t="shared" si="302"/>
        <v>44.5299384203703</v>
      </c>
      <c r="BB329">
        <f t="shared" si="303"/>
        <v>1.54833763707106</v>
      </c>
      <c r="BC329" s="30" t="str">
        <f t="shared" si="304"/>
        <v>-0,349799658000232+0,340713209066718i</v>
      </c>
      <c r="BD329" s="32">
        <f t="shared" si="305"/>
        <v>-6.22611248887574</v>
      </c>
      <c r="BE329" s="31">
        <f t="shared" si="306"/>
        <v>135.753910829014</v>
      </c>
      <c r="BF329" s="30" t="str">
        <f t="shared" si="307"/>
        <v>0,532098456053975+0,204364199206969i</v>
      </c>
      <c r="BG329" s="68">
        <f t="shared" si="308"/>
        <v>-4.88258986859202</v>
      </c>
      <c r="BH329" s="31">
        <f t="shared" si="309"/>
        <v>21.0103921114702</v>
      </c>
      <c r="BI329" s="30" t="str">
        <f t="shared" si="316"/>
        <v>-0,759049915975665+6,97248038297028i</v>
      </c>
      <c r="BJ329" s="68">
        <f t="shared" si="310"/>
        <v>16.9189129702784</v>
      </c>
      <c r="BK329" s="31">
        <f t="shared" si="317"/>
        <v>96.2129629466211</v>
      </c>
      <c r="BL329" s="32">
        <f t="shared" si="311"/>
        <v>-4.88258986859202</v>
      </c>
      <c r="BM329" s="31">
        <f t="shared" si="312"/>
        <v>21.0103921114702</v>
      </c>
      <c r="BO329">
        <f t="shared" si="313"/>
        <v>0</v>
      </c>
      <c r="BP329">
        <f t="shared" si="314"/>
        <v>0</v>
      </c>
    </row>
    <row r="330" spans="14:68">
      <c r="N330" s="7">
        <v>12</v>
      </c>
      <c r="O330" s="18">
        <f t="shared" si="318"/>
        <v>13182.5673855641</v>
      </c>
      <c r="P330" s="86" t="str">
        <f t="shared" si="265"/>
        <v>96,0576923076923</v>
      </c>
      <c r="Q330" s="4" t="str">
        <f t="shared" si="266"/>
        <v>1+110,563322951759i</v>
      </c>
      <c r="R330" s="4">
        <f t="shared" si="277"/>
        <v>110.567845154615</v>
      </c>
      <c r="S330" s="4">
        <f t="shared" si="278"/>
        <v>1.56175198273545</v>
      </c>
      <c r="T330" s="4" t="str">
        <f t="shared" si="267"/>
        <v>1+1,29875109493958i</v>
      </c>
      <c r="U330" s="4">
        <f t="shared" si="279"/>
        <v>1.63913221144811</v>
      </c>
      <c r="V330" s="4">
        <f t="shared" si="280"/>
        <v>0.914636143224373</v>
      </c>
      <c r="W330" t="str">
        <f t="shared" si="268"/>
        <v>1-0,616612268714228i</v>
      </c>
      <c r="X330" s="4">
        <f t="shared" si="281"/>
        <v>1.17482368461353</v>
      </c>
      <c r="Y330" s="4">
        <f t="shared" si="282"/>
        <v>-0.552544938459725</v>
      </c>
      <c r="Z330" t="str">
        <f t="shared" si="269"/>
        <v>0,998581387078572+1,05699073463042i</v>
      </c>
      <c r="AA330" s="4">
        <f t="shared" si="283"/>
        <v>1.4540956638799</v>
      </c>
      <c r="AB330" s="4">
        <f t="shared" si="284"/>
        <v>0.813805648721378</v>
      </c>
      <c r="AC330" s="67" t="str">
        <f t="shared" si="285"/>
        <v>-0,492832734144034-1,039629460349i</v>
      </c>
      <c r="AD330" s="68">
        <f t="shared" si="286"/>
        <v>1.21794004194765</v>
      </c>
      <c r="AE330" s="31">
        <f t="shared" si="287"/>
        <v>-115.363128440749</v>
      </c>
      <c r="AF330" s="32" t="str">
        <f t="shared" si="288"/>
        <v>236,914774604583</v>
      </c>
      <c r="AG330" s="32" t="str">
        <f t="shared" si="270"/>
        <v>1+27,3032900640706i</v>
      </c>
      <c r="AH330" s="32">
        <f t="shared" si="289"/>
        <v>27.3215967381626</v>
      </c>
      <c r="AI330" s="32">
        <f t="shared" si="290"/>
        <v>1.53418706791848</v>
      </c>
      <c r="AJ330" s="32" t="str">
        <f t="shared" si="271"/>
        <v>1+1,29875109493958i</v>
      </c>
      <c r="AK330" s="32">
        <f t="shared" si="291"/>
        <v>1.63913221144811</v>
      </c>
      <c r="AL330" s="32">
        <f t="shared" si="292"/>
        <v>0.914636143224373</v>
      </c>
      <c r="AM330" s="32" t="str">
        <f t="shared" si="272"/>
        <v>1-0,061736729042032i</v>
      </c>
      <c r="AN330" s="32">
        <f t="shared" si="293"/>
        <v>1.00190389943987</v>
      </c>
      <c r="AO330" s="32">
        <f t="shared" si="294"/>
        <v>-0.0616584729800954</v>
      </c>
      <c r="AP330" s="30" t="str">
        <f t="shared" si="295"/>
        <v>11,0622093300745-8,967730409244i</v>
      </c>
      <c r="AQ330" s="32">
        <f t="shared" si="296"/>
        <v>23.070522402995</v>
      </c>
      <c r="AR330" s="31">
        <f t="shared" si="297"/>
        <v>-39.0304234513809</v>
      </c>
      <c r="AS330" t="str">
        <f t="shared" si="273"/>
        <v>-0,000272527472527473</v>
      </c>
      <c r="AT330" t="str">
        <f t="shared" si="274"/>
        <v>0,0186115670301609i</v>
      </c>
      <c r="AU330">
        <f t="shared" si="298"/>
        <v>0.0186115670301609</v>
      </c>
      <c r="AV330">
        <f t="shared" si="299"/>
        <v>1.5707963267949</v>
      </c>
      <c r="AW330" t="str">
        <f t="shared" si="275"/>
        <v>1+0,952878094948255i</v>
      </c>
      <c r="AX330">
        <f t="shared" si="300"/>
        <v>1.38129528480778</v>
      </c>
      <c r="AY330">
        <f t="shared" si="301"/>
        <v>0.761273379015208</v>
      </c>
      <c r="AZ330" t="str">
        <f t="shared" si="276"/>
        <v>1+45,5556825393346i</v>
      </c>
      <c r="BA330">
        <f t="shared" si="302"/>
        <v>45.5666567966604</v>
      </c>
      <c r="BB330">
        <f t="shared" si="303"/>
        <v>1.54884869319785</v>
      </c>
      <c r="BC330" s="30" t="str">
        <f t="shared" si="304"/>
        <v>-0,342307532066103+0,340820257512743i</v>
      </c>
      <c r="BD330" s="32">
        <f t="shared" si="305"/>
        <v>-6.32024031601242</v>
      </c>
      <c r="BE330" s="31">
        <f t="shared" si="306"/>
        <v>135.124741551355</v>
      </c>
      <c r="BF330" s="30" t="str">
        <f t="shared" si="307"/>
        <v>0,523027137340214+0,187905615473602i</v>
      </c>
      <c r="BG330" s="68">
        <f t="shared" si="308"/>
        <v>-5.10230027406477</v>
      </c>
      <c r="BH330" s="31">
        <f t="shared" si="309"/>
        <v>19.7616131106067</v>
      </c>
      <c r="BI330" s="30" t="str">
        <f t="shared" si="316"/>
        <v>-0,730293387593025+6,83994669715832i</v>
      </c>
      <c r="BJ330" s="68">
        <f t="shared" si="310"/>
        <v>16.7502820869826</v>
      </c>
      <c r="BK330" s="31">
        <f t="shared" si="317"/>
        <v>96.0943180999746</v>
      </c>
      <c r="BL330" s="32">
        <f t="shared" si="311"/>
        <v>-5.10230027406477</v>
      </c>
      <c r="BM330" s="31">
        <f t="shared" si="312"/>
        <v>19.7616131106067</v>
      </c>
      <c r="BO330">
        <f t="shared" si="313"/>
        <v>0</v>
      </c>
      <c r="BP330">
        <f t="shared" si="314"/>
        <v>0</v>
      </c>
    </row>
    <row r="331" spans="14:68">
      <c r="N331" s="7">
        <v>13</v>
      </c>
      <c r="O331" s="18">
        <f t="shared" si="318"/>
        <v>13489.6288259166</v>
      </c>
      <c r="P331" s="86" t="str">
        <f t="shared" si="265"/>
        <v>96,0576923076923</v>
      </c>
      <c r="Q331" s="4" t="str">
        <f t="shared" si="266"/>
        <v>1+113,138673579809i</v>
      </c>
      <c r="R331" s="4">
        <f t="shared" si="277"/>
        <v>113.143092848828</v>
      </c>
      <c r="S331" s="4">
        <f t="shared" si="278"/>
        <v>1.56195784629442</v>
      </c>
      <c r="T331" s="4" t="str">
        <f t="shared" si="267"/>
        <v>1+1,32900289416863i</v>
      </c>
      <c r="U331" s="4">
        <f t="shared" si="279"/>
        <v>1.66320434484419</v>
      </c>
      <c r="V331" s="4">
        <f t="shared" si="280"/>
        <v>0.925733013956323</v>
      </c>
      <c r="W331" t="str">
        <f t="shared" si="268"/>
        <v>1-0,630975013529608i</v>
      </c>
      <c r="X331" s="4">
        <f t="shared" si="281"/>
        <v>1.18242524824984</v>
      </c>
      <c r="Y331" s="4">
        <f t="shared" si="282"/>
        <v>-0.562884420768415</v>
      </c>
      <c r="Z331" t="str">
        <f t="shared" si="269"/>
        <v>0,998514529911339+1,081611211653i</v>
      </c>
      <c r="AA331" s="4">
        <f t="shared" si="283"/>
        <v>1.47204418398957</v>
      </c>
      <c r="AB331" s="4">
        <f t="shared" si="284"/>
        <v>0.825324846421212</v>
      </c>
      <c r="AC331" s="67" t="str">
        <f t="shared" si="285"/>
        <v>-0,4970646331714-1,01951602683441i</v>
      </c>
      <c r="AD331" s="68">
        <f t="shared" si="286"/>
        <v>1.09405124690279</v>
      </c>
      <c r="AE331" s="31">
        <f t="shared" si="287"/>
        <v>-115.991529805306</v>
      </c>
      <c r="AF331" s="32" t="str">
        <f t="shared" si="288"/>
        <v>236,914774604583</v>
      </c>
      <c r="AG331" s="32" t="str">
        <f t="shared" si="270"/>
        <v>1+27,9392653887723i</v>
      </c>
      <c r="AH331" s="32">
        <f t="shared" si="289"/>
        <v>27.9571556218484</v>
      </c>
      <c r="AI331" s="32">
        <f t="shared" si="290"/>
        <v>1.5350196772137</v>
      </c>
      <c r="AJ331" s="32" t="str">
        <f t="shared" si="271"/>
        <v>1+1,32900289416863i</v>
      </c>
      <c r="AK331" s="32">
        <f t="shared" si="291"/>
        <v>1.66320434484419</v>
      </c>
      <c r="AL331" s="32">
        <f t="shared" si="292"/>
        <v>0.925733013956323</v>
      </c>
      <c r="AM331" s="32" t="str">
        <f t="shared" si="272"/>
        <v>1-0,0631747621950472i</v>
      </c>
      <c r="AN331" s="32">
        <f t="shared" si="293"/>
        <v>1.00199353819194</v>
      </c>
      <c r="AO331" s="32">
        <f t="shared" si="294"/>
        <v>-0.0630909183216733</v>
      </c>
      <c r="AP331" s="30" t="str">
        <f t="shared" si="295"/>
        <v>11,0485910230863-8,79613019135414i</v>
      </c>
      <c r="AQ331" s="32">
        <f t="shared" si="296"/>
        <v>22.9981938595641</v>
      </c>
      <c r="AR331" s="31">
        <f t="shared" si="297"/>
        <v>-38.5243976636931</v>
      </c>
      <c r="AS331" t="str">
        <f t="shared" si="273"/>
        <v>-0,000272527472527473</v>
      </c>
      <c r="AT331" t="str">
        <f t="shared" si="274"/>
        <v>0,0190450861173272i</v>
      </c>
      <c r="AU331">
        <f t="shared" si="298"/>
        <v>0.0190450861173272</v>
      </c>
      <c r="AV331">
        <f t="shared" si="299"/>
        <v>1.5707963267949</v>
      </c>
      <c r="AW331" t="str">
        <f t="shared" si="275"/>
        <v>1+0,975073477058387i</v>
      </c>
      <c r="AX331">
        <f t="shared" si="300"/>
        <v>1.39669906768163</v>
      </c>
      <c r="AY331">
        <f t="shared" si="301"/>
        <v>0.772778278649524</v>
      </c>
      <c r="AZ331" t="str">
        <f t="shared" si="276"/>
        <v>1+46,6168107010679i</v>
      </c>
      <c r="BA331">
        <f t="shared" si="302"/>
        <v>46.6275352119239</v>
      </c>
      <c r="BB331">
        <f t="shared" si="303"/>
        <v>1.54934812734695</v>
      </c>
      <c r="BC331" s="30" t="str">
        <f t="shared" si="304"/>
        <v>-0,334798749721442+0,34076297618675i</v>
      </c>
      <c r="BD331" s="32">
        <f t="shared" si="305"/>
        <v>-6.41666073584382</v>
      </c>
      <c r="BE331" s="31">
        <f t="shared" si="306"/>
        <v>134.494174827475</v>
      </c>
      <c r="BF331" s="30" t="str">
        <f t="shared" si="307"/>
        <v>0,513829933290716+0,171951467348471i</v>
      </c>
      <c r="BG331" s="68">
        <f t="shared" si="308"/>
        <v>-5.32260948894102</v>
      </c>
      <c r="BH331" s="31">
        <f t="shared" si="309"/>
        <v>18.5026450221696</v>
      </c>
      <c r="BI331" s="30" t="str">
        <f t="shared" si="316"/>
        <v>-0,701658957780878+6,70988415014949i</v>
      </c>
      <c r="BJ331" s="68">
        <f t="shared" si="310"/>
        <v>16.5815331237203</v>
      </c>
      <c r="BK331" s="31">
        <f t="shared" si="317"/>
        <v>95.9697771637823</v>
      </c>
      <c r="BL331" s="32">
        <f t="shared" si="311"/>
        <v>-5.32260948894102</v>
      </c>
      <c r="BM331" s="31">
        <f t="shared" si="312"/>
        <v>18.5026450221696</v>
      </c>
      <c r="BO331">
        <f t="shared" si="313"/>
        <v>0</v>
      </c>
      <c r="BP331">
        <f t="shared" si="314"/>
        <v>0</v>
      </c>
    </row>
    <row r="332" spans="14:68">
      <c r="N332" s="7">
        <v>14</v>
      </c>
      <c r="O332" s="18">
        <f t="shared" si="318"/>
        <v>13803.8426460288</v>
      </c>
      <c r="P332" s="86" t="str">
        <f t="shared" si="265"/>
        <v>96,0576923076923</v>
      </c>
      <c r="Q332" s="4" t="str">
        <f t="shared" si="266"/>
        <v>1+115,774011830157i</v>
      </c>
      <c r="R332" s="4">
        <f t="shared" si="277"/>
        <v>115.778330508128</v>
      </c>
      <c r="S332" s="4">
        <f t="shared" si="278"/>
        <v>1.56215902455059</v>
      </c>
      <c r="T332" s="4" t="str">
        <f t="shared" si="267"/>
        <v>1+1,35995934832359i</v>
      </c>
      <c r="U332" s="4">
        <f t="shared" si="279"/>
        <v>1.68804307678824</v>
      </c>
      <c r="V332" s="4">
        <f t="shared" si="280"/>
        <v>0.936759341106375</v>
      </c>
      <c r="W332" t="str">
        <f t="shared" si="268"/>
        <v>1-0,645672309649096i</v>
      </c>
      <c r="X332" s="4">
        <f t="shared" si="281"/>
        <v>1.19033303383868</v>
      </c>
      <c r="Y332" s="4">
        <f t="shared" si="282"/>
        <v>-0.573326888851689</v>
      </c>
      <c r="Z332" t="str">
        <f t="shared" si="269"/>
        <v>0,998444521862887+1,1068051732568i</v>
      </c>
      <c r="AA332" s="4">
        <f t="shared" si="283"/>
        <v>1.49060697529095</v>
      </c>
      <c r="AB332" s="4">
        <f t="shared" si="284"/>
        <v>0.83682441896875</v>
      </c>
      <c r="AC332" s="67" t="str">
        <f t="shared" si="285"/>
        <v>-0,501266837158816-0,999765152034686i</v>
      </c>
      <c r="AD332" s="68">
        <f t="shared" si="286"/>
        <v>0.97187456351497</v>
      </c>
      <c r="AE332" s="31">
        <f t="shared" si="287"/>
        <v>-116.628480783136</v>
      </c>
      <c r="AF332" s="32" t="str">
        <f t="shared" si="288"/>
        <v>236,914774604583</v>
      </c>
      <c r="AG332" s="32" t="str">
        <f t="shared" si="270"/>
        <v>1+28,5900544818026i</v>
      </c>
      <c r="AH332" s="32">
        <f t="shared" si="289"/>
        <v>28.6075377352271</v>
      </c>
      <c r="AI332" s="32">
        <f t="shared" si="290"/>
        <v>1.53583338196191</v>
      </c>
      <c r="AJ332" s="32" t="str">
        <f t="shared" si="271"/>
        <v>1+1,35995934832359i</v>
      </c>
      <c r="AK332" s="32">
        <f t="shared" si="291"/>
        <v>1.68804307678824</v>
      </c>
      <c r="AL332" s="32">
        <f t="shared" si="292"/>
        <v>0.936759341106375</v>
      </c>
      <c r="AM332" s="32" t="str">
        <f t="shared" si="272"/>
        <v>1-0,0646462914431944i</v>
      </c>
      <c r="AN332" s="32">
        <f t="shared" si="293"/>
        <v>1.00208739289413</v>
      </c>
      <c r="AO332" s="32">
        <f t="shared" si="294"/>
        <v>-0.0645564612184576</v>
      </c>
      <c r="AP332" s="30" t="str">
        <f t="shared" si="295"/>
        <v>11,0355841077049-8,62914996460529i</v>
      </c>
      <c r="AQ332" s="32">
        <f t="shared" si="296"/>
        <v>22.9280157852398</v>
      </c>
      <c r="AR332" s="31">
        <f t="shared" si="297"/>
        <v>-38.0232269249874</v>
      </c>
      <c r="AS332" t="str">
        <f t="shared" si="273"/>
        <v>-0,000272527472527473</v>
      </c>
      <c r="AT332" t="str">
        <f t="shared" si="274"/>
        <v>0,0194887031612443i</v>
      </c>
      <c r="AU332">
        <f t="shared" si="298"/>
        <v>0.0194887031612443</v>
      </c>
      <c r="AV332">
        <f t="shared" si="299"/>
        <v>1.5707963267949</v>
      </c>
      <c r="AW332" t="str">
        <f t="shared" si="275"/>
        <v>1+0,997785856032667i</v>
      </c>
      <c r="AX332">
        <f t="shared" si="300"/>
        <v>1.41264879375549</v>
      </c>
      <c r="AY332">
        <f t="shared" si="301"/>
        <v>0.784289864900848</v>
      </c>
      <c r="AZ332" t="str">
        <f t="shared" si="276"/>
        <v>1+47,7026557128809i</v>
      </c>
      <c r="BA332">
        <f t="shared" si="302"/>
        <v>47.7131361583123</v>
      </c>
      <c r="BB332">
        <f t="shared" si="303"/>
        <v>1.54983620332776</v>
      </c>
      <c r="BC332" s="30" t="str">
        <f t="shared" si="304"/>
        <v>-0,327281237057461+0,340540458308554i</v>
      </c>
      <c r="BD332" s="32">
        <f t="shared" si="305"/>
        <v>-6.51537783616863</v>
      </c>
      <c r="BE332" s="31">
        <f t="shared" si="306"/>
        <v>133.862574213556</v>
      </c>
      <c r="BF332" s="30" t="str">
        <f t="shared" si="307"/>
        <v>0,504515713636031+0,15650273726391i</v>
      </c>
      <c r="BG332" s="68">
        <f t="shared" si="308"/>
        <v>-5.54350327265366</v>
      </c>
      <c r="BH332" s="31">
        <f t="shared" si="309"/>
        <v>17.2340934304203</v>
      </c>
      <c r="BI332" s="30" t="str">
        <f t="shared" si="316"/>
        <v>-0,673164934661388+6,58222174491079i</v>
      </c>
      <c r="BJ332" s="68">
        <f t="shared" si="310"/>
        <v>16.4126379490712</v>
      </c>
      <c r="BK332" s="31">
        <f t="shared" si="317"/>
        <v>95.8393472885687</v>
      </c>
      <c r="BL332" s="32">
        <f t="shared" si="311"/>
        <v>-5.54350327265366</v>
      </c>
      <c r="BM332" s="31">
        <f t="shared" si="312"/>
        <v>17.2340934304203</v>
      </c>
      <c r="BO332">
        <f t="shared" si="313"/>
        <v>0</v>
      </c>
      <c r="BP332">
        <f t="shared" si="314"/>
        <v>0</v>
      </c>
    </row>
    <row r="333" spans="14:68">
      <c r="N333" s="7">
        <v>15</v>
      </c>
      <c r="O333" s="18">
        <f t="shared" si="318"/>
        <v>14125.3754462276</v>
      </c>
      <c r="P333" s="86" t="str">
        <f t="shared" si="265"/>
        <v>96,0576923076923</v>
      </c>
      <c r="Q333" s="4" t="str">
        <f t="shared" si="266"/>
        <v>1+118,47073499403i</v>
      </c>
      <c r="R333" s="4">
        <f t="shared" si="277"/>
        <v>118.474955370431</v>
      </c>
      <c r="S333" s="4">
        <f t="shared" si="278"/>
        <v>1.56235562410617</v>
      </c>
      <c r="T333" s="4" t="str">
        <f t="shared" si="267"/>
        <v>1+1,39163687092624i</v>
      </c>
      <c r="U333" s="4">
        <f t="shared" si="279"/>
        <v>1.7136665896613</v>
      </c>
      <c r="V333" s="4">
        <f t="shared" si="280"/>
        <v>0.947710246701656</v>
      </c>
      <c r="W333" t="str">
        <f t="shared" si="268"/>
        <v>1-0,660711949773654i</v>
      </c>
      <c r="X333" s="4">
        <f t="shared" si="281"/>
        <v>1.19855758333661</v>
      </c>
      <c r="Y333" s="4">
        <f t="shared" si="282"/>
        <v>-0.583868769576057</v>
      </c>
      <c r="Z333" t="str">
        <f t="shared" si="269"/>
        <v>0,99837121443676+1,13258597761378i</v>
      </c>
      <c r="AA333" s="4">
        <f t="shared" si="283"/>
        <v>1.50980001275112</v>
      </c>
      <c r="AB333" s="4">
        <f t="shared" si="284"/>
        <v>0.848298400324702</v>
      </c>
      <c r="AC333" s="67" t="str">
        <f t="shared" si="285"/>
        <v>-0,50543606569931-0,980367464863595i</v>
      </c>
      <c r="AD333" s="68">
        <f t="shared" si="286"/>
        <v>0.851428082776681</v>
      </c>
      <c r="AE333" s="31">
        <f t="shared" si="287"/>
        <v>-117.273720415013</v>
      </c>
      <c r="AF333" s="32" t="str">
        <f t="shared" si="288"/>
        <v>236,914774604583</v>
      </c>
      <c r="AG333" s="32" t="str">
        <f t="shared" si="270"/>
        <v>1+29,2560024001538i</v>
      </c>
      <c r="AH333" s="32">
        <f t="shared" si="289"/>
        <v>29.2730879211231</v>
      </c>
      <c r="AI333" s="32">
        <f t="shared" si="290"/>
        <v>1.53662860928753</v>
      </c>
      <c r="AJ333" s="32" t="str">
        <f t="shared" si="271"/>
        <v>1+1,39163687092624i</v>
      </c>
      <c r="AK333" s="32">
        <f t="shared" si="291"/>
        <v>1.7136665896613</v>
      </c>
      <c r="AL333" s="32">
        <f t="shared" si="292"/>
        <v>0.947710246701656</v>
      </c>
      <c r="AM333" s="32" t="str">
        <f t="shared" si="272"/>
        <v>1-0,0661520970107606i</v>
      </c>
      <c r="AN333" s="32">
        <f t="shared" si="293"/>
        <v>1.00218566141156</v>
      </c>
      <c r="AO333" s="32">
        <f t="shared" si="294"/>
        <v>-0.0660558535247645</v>
      </c>
      <c r="AP333" s="30" t="str">
        <f t="shared" si="295"/>
        <v>11,0231612014358-8,46670411249682i</v>
      </c>
      <c r="AQ333" s="32">
        <f t="shared" si="296"/>
        <v>22.8599624525244</v>
      </c>
      <c r="AR333" s="31">
        <f t="shared" si="297"/>
        <v>-37.5272582730289</v>
      </c>
      <c r="AS333" t="str">
        <f t="shared" si="273"/>
        <v>-0,000272527472527473</v>
      </c>
      <c r="AT333" t="str">
        <f t="shared" si="274"/>
        <v>0,0199426533735412i</v>
      </c>
      <c r="AU333">
        <f t="shared" si="298"/>
        <v>0.0199426533735412</v>
      </c>
      <c r="AV333">
        <f t="shared" si="299"/>
        <v>1.5707963267949</v>
      </c>
      <c r="AW333" t="str">
        <f t="shared" si="275"/>
        <v>1+1,02102727427509i</v>
      </c>
      <c r="AX333">
        <f t="shared" si="300"/>
        <v>1.42915943645684</v>
      </c>
      <c r="AY333">
        <f t="shared" si="301"/>
        <v>0.795802038629047</v>
      </c>
      <c r="AZ333" t="str">
        <f t="shared" si="276"/>
        <v>1+48,8137933041728i</v>
      </c>
      <c r="BA333">
        <f t="shared" si="302"/>
        <v>48.8240352361673</v>
      </c>
      <c r="BB333">
        <f t="shared" si="303"/>
        <v>1.55031317899397</v>
      </c>
      <c r="BC333" s="30" t="str">
        <f t="shared" si="304"/>
        <v>-0,319762957117401+0,340152257826607i</v>
      </c>
      <c r="BD333" s="32">
        <f t="shared" si="305"/>
        <v>-6.61639326214576</v>
      </c>
      <c r="BE333" s="31">
        <f t="shared" si="306"/>
        <v>133.230303938513</v>
      </c>
      <c r="BF333" s="30" t="str">
        <f t="shared" si="307"/>
        <v>0,495093937674895+0,141559980691855i</v>
      </c>
      <c r="BG333" s="68">
        <f t="shared" si="308"/>
        <v>-5.76496517936908</v>
      </c>
      <c r="BH333" s="31">
        <f t="shared" si="309"/>
        <v>15.9565835234996</v>
      </c>
      <c r="BI333" s="30" t="str">
        <f t="shared" si="316"/>
        <v>-0,644830102337301+6,45689151510508i</v>
      </c>
      <c r="BJ333" s="68">
        <f t="shared" si="310"/>
        <v>16.2435691903787</v>
      </c>
      <c r="BK333" s="31">
        <f t="shared" si="317"/>
        <v>95.7030456654839</v>
      </c>
      <c r="BL333" s="32">
        <f t="shared" si="311"/>
        <v>-5.76496517936908</v>
      </c>
      <c r="BM333" s="31">
        <f t="shared" si="312"/>
        <v>15.9565835234996</v>
      </c>
      <c r="BO333">
        <f t="shared" si="313"/>
        <v>0</v>
      </c>
      <c r="BP333">
        <f t="shared" si="314"/>
        <v>0</v>
      </c>
    </row>
    <row r="334" spans="14:68">
      <c r="N334" s="7">
        <v>16</v>
      </c>
      <c r="O334" s="18">
        <f t="shared" si="318"/>
        <v>14454.3977074593</v>
      </c>
      <c r="P334" s="86" t="str">
        <f t="shared" si="265"/>
        <v>96,0576923076923</v>
      </c>
      <c r="Q334" s="4" t="str">
        <f t="shared" si="266"/>
        <v>1+121,230272909741i</v>
      </c>
      <c r="R334" s="4">
        <f t="shared" si="277"/>
        <v>121.234397221953</v>
      </c>
      <c r="S334" s="4">
        <f t="shared" si="278"/>
        <v>1.56254774914001</v>
      </c>
      <c r="T334" s="4" t="str">
        <f t="shared" si="267"/>
        <v>1+1,42405225781833i</v>
      </c>
      <c r="U334" s="4">
        <f t="shared" si="279"/>
        <v>1.7400933403118</v>
      </c>
      <c r="V334" s="4">
        <f t="shared" si="280"/>
        <v>0.958581031257365</v>
      </c>
      <c r="W334" t="str">
        <f t="shared" si="268"/>
        <v>1-0,676101908119533i</v>
      </c>
      <c r="X334" s="4">
        <f t="shared" si="281"/>
        <v>1.20710968439611</v>
      </c>
      <c r="Y334" s="4">
        <f t="shared" si="282"/>
        <v>-0.594506279952115</v>
      </c>
      <c r="Z334" t="str">
        <f t="shared" si="269"/>
        <v>0,998294452138078+1,15896729404763i</v>
      </c>
      <c r="AA334" s="4">
        <f t="shared" si="283"/>
        <v>1.52963950061501</v>
      </c>
      <c r="AB334" s="4">
        <f t="shared" si="284"/>
        <v>0.85974089377049</v>
      </c>
      <c r="AC334" s="67" t="str">
        <f t="shared" si="285"/>
        <v>-0,509569080039567-0,961314049774393i</v>
      </c>
      <c r="AD334" s="68">
        <f t="shared" si="286"/>
        <v>0.732729608969003</v>
      </c>
      <c r="AE334" s="31">
        <f t="shared" si="287"/>
        <v>-117.926969324177</v>
      </c>
      <c r="AF334" s="32" t="str">
        <f t="shared" si="288"/>
        <v>236,914774604583</v>
      </c>
      <c r="AG334" s="32" t="str">
        <f t="shared" si="270"/>
        <v>1+29,9374622382263i</v>
      </c>
      <c r="AH334" s="32">
        <f t="shared" si="289"/>
        <v>29.9541590645644</v>
      </c>
      <c r="AI334" s="32">
        <f t="shared" si="290"/>
        <v>1.53740577680519</v>
      </c>
      <c r="AJ334" s="32" t="str">
        <f t="shared" si="271"/>
        <v>1+1,42405225781833i</v>
      </c>
      <c r="AK334" s="32">
        <f t="shared" si="291"/>
        <v>1.7400933403118</v>
      </c>
      <c r="AL334" s="32">
        <f t="shared" si="292"/>
        <v>0.958581031257365</v>
      </c>
      <c r="AM334" s="32" t="str">
        <f t="shared" si="272"/>
        <v>1-0,0676929772957878i</v>
      </c>
      <c r="AN334" s="32">
        <f t="shared" si="293"/>
        <v>1.00228855085508</v>
      </c>
      <c r="AO334" s="32">
        <f t="shared" si="294"/>
        <v>-0.067589863255853</v>
      </c>
      <c r="AP334" s="30" t="str">
        <f t="shared" si="295"/>
        <v>11,0112961423827-8,30870922867607i</v>
      </c>
      <c r="AQ334" s="32">
        <f t="shared" si="296"/>
        <v>22.7940065583577</v>
      </c>
      <c r="AR334" s="31">
        <f t="shared" si="297"/>
        <v>-37.0368289000508</v>
      </c>
      <c r="AS334" t="str">
        <f t="shared" si="273"/>
        <v>-0,000272527472527473</v>
      </c>
      <c r="AT334" t="str">
        <f t="shared" si="274"/>
        <v>0,0204071774446288i</v>
      </c>
      <c r="AU334">
        <f t="shared" si="298"/>
        <v>0.0204071774446288</v>
      </c>
      <c r="AV334">
        <f t="shared" si="299"/>
        <v>1.5707963267949</v>
      </c>
      <c r="AW334" t="str">
        <f t="shared" si="275"/>
        <v>1+1,04481005469322i</v>
      </c>
      <c r="AX334">
        <f t="shared" si="300"/>
        <v>1.44624619286899</v>
      </c>
      <c r="AY334">
        <f t="shared" si="301"/>
        <v>0.807308699137928</v>
      </c>
      <c r="AZ334" t="str">
        <f t="shared" si="276"/>
        <v>1+49,9508126148012i</v>
      </c>
      <c r="BA334">
        <f t="shared" si="302"/>
        <v>49.9608214592092</v>
      </c>
      <c r="BB334">
        <f t="shared" si="303"/>
        <v>1.55077930637575</v>
      </c>
      <c r="BC334" s="30" t="str">
        <f t="shared" si="304"/>
        <v>-0,312251876195173+0,339598391090932i</v>
      </c>
      <c r="BD334" s="32">
        <f t="shared" si="305"/>
        <v>-6.7197062105358</v>
      </c>
      <c r="BE334" s="31">
        <f t="shared" si="306"/>
        <v>132.597727986756</v>
      </c>
      <c r="BF334" s="30" t="str">
        <f t="shared" si="307"/>
        <v>0,485574605929895+0,127123275923711i</v>
      </c>
      <c r="BG334" s="68">
        <f t="shared" si="308"/>
        <v>-5.98697660156679</v>
      </c>
      <c r="BH334" s="31">
        <f t="shared" si="309"/>
        <v>14.6707586625784</v>
      </c>
      <c r="BI334" s="30" t="str">
        <f t="shared" si="316"/>
        <v>-0,616673593698896+6,3338284991932i</v>
      </c>
      <c r="BJ334" s="68">
        <f t="shared" si="310"/>
        <v>16.0743003478219</v>
      </c>
      <c r="BK334" s="31">
        <f t="shared" si="317"/>
        <v>95.560899086705</v>
      </c>
      <c r="BL334" s="32">
        <f t="shared" si="311"/>
        <v>-5.98697660156679</v>
      </c>
      <c r="BM334" s="31">
        <f t="shared" si="312"/>
        <v>14.6707586625784</v>
      </c>
      <c r="BO334">
        <f t="shared" si="313"/>
        <v>0</v>
      </c>
      <c r="BP334">
        <f t="shared" si="314"/>
        <v>0</v>
      </c>
    </row>
    <row r="335" spans="14:68">
      <c r="N335" s="7">
        <v>17</v>
      </c>
      <c r="O335" s="18">
        <f t="shared" si="318"/>
        <v>14791.0838816821</v>
      </c>
      <c r="P335" s="86" t="str">
        <f t="shared" si="265"/>
        <v>96,0576923076923</v>
      </c>
      <c r="Q335" s="4" t="str">
        <f t="shared" si="266"/>
        <v>1+124,054088720821i</v>
      </c>
      <c r="R335" s="4">
        <f t="shared" si="277"/>
        <v>124.058119155311</v>
      </c>
      <c r="S335" s="4">
        <f t="shared" si="278"/>
        <v>1.56273550146258</v>
      </c>
      <c r="T335" s="4" t="str">
        <f t="shared" si="267"/>
        <v>1+1,45722269606709i</v>
      </c>
      <c r="U335" s="4">
        <f t="shared" si="279"/>
        <v>1.76734206817272</v>
      </c>
      <c r="V335" s="4">
        <f t="shared" si="280"/>
        <v>0.969367181628116</v>
      </c>
      <c r="W335" t="str">
        <f t="shared" si="268"/>
        <v>1-0,691850344646364i</v>
      </c>
      <c r="X335" s="4">
        <f t="shared" si="281"/>
        <v>1.2160003698138</v>
      </c>
      <c r="Y335" s="4">
        <f t="shared" si="282"/>
        <v>-0.605235430407894</v>
      </c>
      <c r="Z335" t="str">
        <f t="shared" si="269"/>
        <v>0,998214072143715+1,18596311028152i</v>
      </c>
      <c r="AA335" s="4">
        <f t="shared" si="283"/>
        <v>1.55014187504704</v>
      </c>
      <c r="AB335" s="4">
        <f t="shared" si="284"/>
        <v>0.871146086876865</v>
      </c>
      <c r="AC335" s="67" t="str">
        <f t="shared" si="285"/>
        <v>-0,513662700216557-0,942596434422807i</v>
      </c>
      <c r="AD335" s="68">
        <f t="shared" si="286"/>
        <v>0.615796604085669</v>
      </c>
      <c r="AE335" s="31">
        <f t="shared" si="287"/>
        <v>-118.587930314821</v>
      </c>
      <c r="AF335" s="32" t="str">
        <f t="shared" si="288"/>
        <v>236,914774604583</v>
      </c>
      <c r="AG335" s="32" t="str">
        <f t="shared" si="270"/>
        <v>1+30,6347953150467i</v>
      </c>
      <c r="AH335" s="32">
        <f t="shared" si="289"/>
        <v>30.6511122798963</v>
      </c>
      <c r="AI335" s="32">
        <f t="shared" si="290"/>
        <v>1.53816529282205</v>
      </c>
      <c r="AJ335" s="32" t="str">
        <f t="shared" si="271"/>
        <v>1+1,45722269606709i</v>
      </c>
      <c r="AK335" s="32">
        <f t="shared" si="291"/>
        <v>1.76734206817272</v>
      </c>
      <c r="AL335" s="32">
        <f t="shared" si="292"/>
        <v>0.969367181628116</v>
      </c>
      <c r="AM335" s="32" t="str">
        <f t="shared" si="272"/>
        <v>1-0,0692697492933999i</v>
      </c>
      <c r="AN335" s="32">
        <f t="shared" si="293"/>
        <v>1.00239627800944</v>
      </c>
      <c r="AO335" s="32">
        <f t="shared" si="294"/>
        <v>-0.0691592748692576</v>
      </c>
      <c r="AP335" s="30" t="str">
        <f t="shared" si="295"/>
        <v>10,9999639353466-8,1550840855822i</v>
      </c>
      <c r="AQ335" s="32">
        <f t="shared" si="296"/>
        <v>22.7301193362346</v>
      </c>
      <c r="AR335" s="31">
        <f t="shared" si="297"/>
        <v>-36.5522657306187</v>
      </c>
      <c r="AS335" t="str">
        <f t="shared" si="273"/>
        <v>-0,000272527472527473</v>
      </c>
      <c r="AT335" t="str">
        <f t="shared" si="274"/>
        <v>0,0208825216713185i</v>
      </c>
      <c r="AU335">
        <f t="shared" si="298"/>
        <v>0.0208825216713185</v>
      </c>
      <c r="AV335">
        <f t="shared" si="299"/>
        <v>1.5707963267949</v>
      </c>
      <c r="AW335" t="str">
        <f t="shared" si="275"/>
        <v>1+1,06914680723204i</v>
      </c>
      <c r="AX335">
        <f t="shared" si="300"/>
        <v>1.4639244841912</v>
      </c>
      <c r="AY335">
        <f t="shared" si="301"/>
        <v>0.818803760326488</v>
      </c>
      <c r="AZ335" t="str">
        <f t="shared" si="276"/>
        <v>1+51,1143165074551i</v>
      </c>
      <c r="BA335">
        <f t="shared" si="302"/>
        <v>51.1240975668451</v>
      </c>
      <c r="BB335">
        <f t="shared" si="303"/>
        <v>1.55123483180934</v>
      </c>
      <c r="BC335" s="30" t="str">
        <f t="shared" si="304"/>
        <v>-0,304755930104725+0,338879335568423i</v>
      </c>
      <c r="BD335" s="32">
        <f t="shared" si="305"/>
        <v>-6.82531343425721</v>
      </c>
      <c r="BE335" s="31">
        <f t="shared" si="306"/>
        <v>131.965209180212</v>
      </c>
      <c r="BF335" s="30" t="str">
        <f t="shared" si="307"/>
        <v>0,475968207370967+0,113192178530251i</v>
      </c>
      <c r="BG335" s="68">
        <f t="shared" si="308"/>
        <v>-6.20951683017154</v>
      </c>
      <c r="BH335" s="31">
        <f t="shared" si="309"/>
        <v>13.377278865391</v>
      </c>
      <c r="BI335" s="30" t="str">
        <f t="shared" si="316"/>
        <v>-0,588714763808268+6,21297070527072i</v>
      </c>
      <c r="BJ335" s="68">
        <f t="shared" si="310"/>
        <v>15.9048059019774</v>
      </c>
      <c r="BK335" s="31">
        <f t="shared" si="317"/>
        <v>95.4129434495936</v>
      </c>
      <c r="BL335" s="32">
        <f t="shared" si="311"/>
        <v>-6.20951683017154</v>
      </c>
      <c r="BM335" s="31">
        <f t="shared" si="312"/>
        <v>13.377278865391</v>
      </c>
      <c r="BO335">
        <f t="shared" si="313"/>
        <v>0</v>
      </c>
      <c r="BP335">
        <f t="shared" si="314"/>
        <v>0</v>
      </c>
    </row>
    <row r="336" spans="14:68">
      <c r="N336" s="7">
        <v>18</v>
      </c>
      <c r="O336" s="18">
        <f t="shared" si="318"/>
        <v>15135.6124843621</v>
      </c>
      <c r="P336" s="86" t="str">
        <f t="shared" si="265"/>
        <v>96,0576923076923</v>
      </c>
      <c r="Q336" s="4" t="str">
        <f t="shared" si="266"/>
        <v>1+126,943679651791i</v>
      </c>
      <c r="R336" s="4">
        <f t="shared" si="277"/>
        <v>126.947618345271</v>
      </c>
      <c r="S336" s="4">
        <f t="shared" si="278"/>
        <v>1.56291898056968</v>
      </c>
      <c r="T336" s="4" t="str">
        <f t="shared" si="267"/>
        <v>1+1,49116577307792i</v>
      </c>
      <c r="U336" s="4">
        <f t="shared" si="279"/>
        <v>1.79543180399565</v>
      </c>
      <c r="V336" s="4">
        <f t="shared" si="280"/>
        <v>0.980064377871847</v>
      </c>
      <c r="W336" t="str">
        <f t="shared" si="268"/>
        <v>1-0,707965609383649i</v>
      </c>
      <c r="X336" s="4">
        <f t="shared" si="281"/>
        <v>1.22524091674656</v>
      </c>
      <c r="Y336" s="4">
        <f t="shared" si="282"/>
        <v>-0.616052029032232</v>
      </c>
      <c r="Z336" t="str">
        <f t="shared" si="269"/>
        <v>0,998129903956924+1,21358773985457i</v>
      </c>
      <c r="AA336" s="4">
        <f t="shared" si="283"/>
        <v>1.5713238073352</v>
      </c>
      <c r="AB336" s="4">
        <f t="shared" si="284"/>
        <v>0.882508265945393</v>
      </c>
      <c r="AC336" s="67" t="str">
        <f t="shared" si="285"/>
        <v>-0,517713821347334-0,924206576164027i</v>
      </c>
      <c r="AD336" s="68">
        <f t="shared" si="286"/>
        <v>0.500646126350089</v>
      </c>
      <c r="AE336" s="31">
        <f t="shared" si="287"/>
        <v>-119.256289052458</v>
      </c>
      <c r="AF336" s="32" t="str">
        <f t="shared" si="288"/>
        <v>236,914774604583</v>
      </c>
      <c r="AG336" s="32" t="str">
        <f t="shared" si="270"/>
        <v>1+31,3483713658425i</v>
      </c>
      <c r="AH336" s="32">
        <f t="shared" si="289"/>
        <v>31.3643171022545</v>
      </c>
      <c r="AI336" s="32">
        <f t="shared" si="290"/>
        <v>1.53890755653644</v>
      </c>
      <c r="AJ336" s="32" t="str">
        <f t="shared" si="271"/>
        <v>1+1,49116577307792i</v>
      </c>
      <c r="AK336" s="32">
        <f t="shared" si="291"/>
        <v>1.79543180399565</v>
      </c>
      <c r="AL336" s="32">
        <f t="shared" si="292"/>
        <v>0.980064377871847</v>
      </c>
      <c r="AM336" s="32" t="str">
        <f t="shared" si="272"/>
        <v>1-0,0708832490289808i</v>
      </c>
      <c r="AN336" s="32">
        <f t="shared" si="293"/>
        <v>1.00250906978087</v>
      </c>
      <c r="AO336" s="32">
        <f t="shared" si="294"/>
        <v>-0.0707648895460546</v>
      </c>
      <c r="AP336" s="30" t="str">
        <f t="shared" si="295"/>
        <v>10,9891407002611-8,00574960339689i</v>
      </c>
      <c r="AQ336" s="32">
        <f t="shared" si="296"/>
        <v>22.6682706713641</v>
      </c>
      <c r="AR336" s="31">
        <f t="shared" si="297"/>
        <v>-36.0738850558549</v>
      </c>
      <c r="AS336" t="str">
        <f t="shared" si="273"/>
        <v>-0,000272527472527473</v>
      </c>
      <c r="AT336" t="str">
        <f t="shared" si="274"/>
        <v>0,0213689380874112i</v>
      </c>
      <c r="AU336">
        <f t="shared" si="298"/>
        <v>0.0213689380874112</v>
      </c>
      <c r="AV336">
        <f t="shared" si="299"/>
        <v>1.5707963267949</v>
      </c>
      <c r="AW336" t="str">
        <f t="shared" si="275"/>
        <v>1+1,09405043555989i</v>
      </c>
      <c r="AX336">
        <f t="shared" si="300"/>
        <v>1.48220995663529</v>
      </c>
      <c r="AY336">
        <f t="shared" si="301"/>
        <v>0.830281166745942</v>
      </c>
      <c r="AZ336" t="str">
        <f t="shared" si="276"/>
        <v>1+52,3049218872993i</v>
      </c>
      <c r="BA336">
        <f t="shared" si="302"/>
        <v>52.3144803437488</v>
      </c>
      <c r="BB336">
        <f t="shared" si="303"/>
        <v>1.55167999606373</v>
      </c>
      <c r="BC336" s="30" t="str">
        <f t="shared" si="304"/>
        <v>-0,297282990723266+0,337996025614774i</v>
      </c>
      <c r="BD336" s="32">
        <f t="shared" si="305"/>
        <v>-6.93320925722022</v>
      </c>
      <c r="BE336" s="31">
        <f t="shared" si="306"/>
        <v>131.333108265588</v>
      </c>
      <c r="BF336" s="30" t="str">
        <f t="shared" si="307"/>
        <v>0,466285662739385+0,0997656809869159i</v>
      </c>
      <c r="BG336" s="68">
        <f t="shared" si="308"/>
        <v>-6.43256313087013</v>
      </c>
      <c r="BH336" s="31">
        <f t="shared" si="309"/>
        <v>12.0768192131297</v>
      </c>
      <c r="BI336" s="30" t="str">
        <f t="shared" si="316"/>
        <v>-0,560973064837184+6,09425906668923i</v>
      </c>
      <c r="BJ336" s="68">
        <f t="shared" si="310"/>
        <v>15.7350614141439</v>
      </c>
      <c r="BK336" s="31">
        <f t="shared" si="317"/>
        <v>95.2592232097329</v>
      </c>
      <c r="BL336" s="32">
        <f t="shared" si="311"/>
        <v>-6.43256313087013</v>
      </c>
      <c r="BM336" s="31">
        <f t="shared" si="312"/>
        <v>12.0768192131297</v>
      </c>
      <c r="BO336">
        <f t="shared" si="313"/>
        <v>0</v>
      </c>
      <c r="BP336">
        <f t="shared" si="314"/>
        <v>0</v>
      </c>
    </row>
    <row r="337" spans="14:68">
      <c r="N337" s="7">
        <v>19</v>
      </c>
      <c r="O337" s="18">
        <f t="shared" si="318"/>
        <v>15488.1661891249</v>
      </c>
      <c r="P337" s="86" t="str">
        <f t="shared" si="265"/>
        <v>96,0576923076923</v>
      </c>
      <c r="Q337" s="4" t="str">
        <f t="shared" si="266"/>
        <v>1+129,900577802011i</v>
      </c>
      <c r="R337" s="4">
        <f t="shared" si="277"/>
        <v>129.904426842569</v>
      </c>
      <c r="S337" s="4">
        <f t="shared" si="278"/>
        <v>1.56309828369491</v>
      </c>
      <c r="T337" s="4" t="str">
        <f t="shared" si="267"/>
        <v>1+1,52589948591955i</v>
      </c>
      <c r="U337" s="4">
        <f t="shared" si="279"/>
        <v>1.82438187919348</v>
      </c>
      <c r="V337" s="4">
        <f t="shared" si="280"/>
        <v>0.990668499120135</v>
      </c>
      <c r="W337" t="str">
        <f t="shared" si="268"/>
        <v>1-0,724456246858064i</v>
      </c>
      <c r="X337" s="4">
        <f t="shared" si="281"/>
        <v>1.23484284571425</v>
      </c>
      <c r="Y337" s="4">
        <f t="shared" si="282"/>
        <v>-0.626951686803675</v>
      </c>
      <c r="Z337" t="str">
        <f t="shared" si="269"/>
        <v>0,998041769045698+1,24185582971103i</v>
      </c>
      <c r="AA337" s="4">
        <f t="shared" si="283"/>
        <v>1.59320220767708</v>
      </c>
      <c r="AB337" s="4">
        <f t="shared" si="284"/>
        <v>0.893821829838825</v>
      </c>
      <c r="AC337" s="67" t="str">
        <f t="shared" si="285"/>
        <v>-0,521719428956541-0,906136847477709i</v>
      </c>
      <c r="AD337" s="68">
        <f t="shared" si="286"/>
        <v>0.387294763266735</v>
      </c>
      <c r="AE337" s="31">
        <f t="shared" si="287"/>
        <v>-119.931714822601</v>
      </c>
      <c r="AF337" s="32" t="str">
        <f t="shared" si="288"/>
        <v>236,914774604583</v>
      </c>
      <c r="AG337" s="32" t="str">
        <f t="shared" si="270"/>
        <v>1+32,0785687380814i</v>
      </c>
      <c r="AH337" s="32">
        <f t="shared" si="289"/>
        <v>32.0941516835048</v>
      </c>
      <c r="AI337" s="32">
        <f t="shared" si="290"/>
        <v>1.53963295823291</v>
      </c>
      <c r="AJ337" s="32" t="str">
        <f t="shared" si="271"/>
        <v>1+1,52589948591955i</v>
      </c>
      <c r="AK337" s="32">
        <f t="shared" si="291"/>
        <v>1.82438187919348</v>
      </c>
      <c r="AL337" s="32">
        <f t="shared" si="292"/>
        <v>0.990668499120135</v>
      </c>
      <c r="AM337" s="32" t="str">
        <f t="shared" si="272"/>
        <v>1-0,0725343320014479i</v>
      </c>
      <c r="AN337" s="32">
        <f t="shared" si="293"/>
        <v>1.00262716366499</v>
      </c>
      <c r="AO337" s="32">
        <f t="shared" si="294"/>
        <v>-0.0724075254716243</v>
      </c>
      <c r="AP337" s="30" t="str">
        <f t="shared" si="295"/>
        <v>10,9788036228659-7,86062881933889i</v>
      </c>
      <c r="AQ337" s="32">
        <f t="shared" si="296"/>
        <v>22.6084292181042</v>
      </c>
      <c r="AR337" s="31">
        <f t="shared" si="297"/>
        <v>-35.601992224354</v>
      </c>
      <c r="AS337" t="str">
        <f t="shared" si="273"/>
        <v>-0,000272527472527473</v>
      </c>
      <c r="AT337" t="str">
        <f t="shared" si="274"/>
        <v>0,0218666845973293i</v>
      </c>
      <c r="AU337">
        <f t="shared" si="298"/>
        <v>0.0218666845973293</v>
      </c>
      <c r="AV337">
        <f t="shared" si="299"/>
        <v>1.5707963267949</v>
      </c>
      <c r="AW337" t="str">
        <f t="shared" si="275"/>
        <v>1+1,11953414391015i</v>
      </c>
      <c r="AX337">
        <f t="shared" si="300"/>
        <v>1.50111848279229</v>
      </c>
      <c r="AY337">
        <f t="shared" si="301"/>
        <v>0.841734909459544</v>
      </c>
      <c r="AZ337" t="str">
        <f t="shared" si="276"/>
        <v>1+53,5232600290658i</v>
      </c>
      <c r="BA337">
        <f t="shared" si="302"/>
        <v>53.5326009468902</v>
      </c>
      <c r="BB337">
        <f t="shared" si="303"/>
        <v>1.55211503446475</v>
      </c>
      <c r="BC337" s="30" t="str">
        <f t="shared" si="304"/>
        <v>-0,289840833107176+0,336949845352565i</v>
      </c>
      <c r="BD337" s="32">
        <f t="shared" si="305"/>
        <v>-7.04338559930945</v>
      </c>
      <c r="BE337" s="31">
        <f t="shared" si="306"/>
        <v>130.701783012774</v>
      </c>
      <c r="BF337" s="30" t="str">
        <f t="shared" si="307"/>
        <v>0,456538264562839+0,0868421778777142i</v>
      </c>
      <c r="BG337" s="68">
        <f t="shared" si="308"/>
        <v>-6.65609083604271</v>
      </c>
      <c r="BH337" s="31">
        <f t="shared" si="309"/>
        <v>10.7700681901726</v>
      </c>
      <c r="BI337" s="30" t="str">
        <f t="shared" si="316"/>
        <v>-0,53346792352138+5,97763738862431i</v>
      </c>
      <c r="BJ337" s="68">
        <f t="shared" si="310"/>
        <v>15.5650436187948</v>
      </c>
      <c r="BK337" s="31">
        <f t="shared" si="317"/>
        <v>95.09979078842</v>
      </c>
      <c r="BL337" s="32">
        <f t="shared" si="311"/>
        <v>-6.65609083604271</v>
      </c>
      <c r="BM337" s="31">
        <f t="shared" si="312"/>
        <v>10.7700681901726</v>
      </c>
      <c r="BO337">
        <f t="shared" si="313"/>
        <v>0</v>
      </c>
      <c r="BP337">
        <f t="shared" si="314"/>
        <v>0</v>
      </c>
    </row>
    <row r="338" spans="14:68">
      <c r="N338" s="7">
        <v>20</v>
      </c>
      <c r="O338" s="18">
        <f t="shared" si="318"/>
        <v>15848.9319246111</v>
      </c>
      <c r="P338" s="86" t="str">
        <f t="shared" si="265"/>
        <v>96,0576923076923</v>
      </c>
      <c r="Q338" s="4" t="str">
        <f t="shared" si="266"/>
        <v>1+132,926350958018i</v>
      </c>
      <c r="R338" s="4">
        <f t="shared" si="277"/>
        <v>132.930112386224</v>
      </c>
      <c r="S338" s="4">
        <f t="shared" si="278"/>
        <v>1.56327350586102</v>
      </c>
      <c r="T338" s="4" t="str">
        <f t="shared" si="267"/>
        <v>1+1,56144225086627i</v>
      </c>
      <c r="U338" s="4">
        <f t="shared" si="279"/>
        <v>1.85421193578035</v>
      </c>
      <c r="V338" s="4">
        <f t="shared" si="280"/>
        <v>1.00117562845711</v>
      </c>
      <c r="W338" t="str">
        <f t="shared" si="268"/>
        <v>1-0,741331000623868i</v>
      </c>
      <c r="X338" s="4">
        <f t="shared" si="281"/>
        <v>1.2448179194107</v>
      </c>
      <c r="Y338" s="4">
        <f t="shared" si="282"/>
        <v>-0.637929823812497</v>
      </c>
      <c r="Z338" t="str">
        <f t="shared" si="269"/>
        <v>0,997949480464074+1,27078236796629i</v>
      </c>
      <c r="AA338" s="4">
        <f t="shared" si="283"/>
        <v>1.61579422956406</v>
      </c>
      <c r="AB338" s="4">
        <f t="shared" si="284"/>
        <v>0.905081303123405</v>
      </c>
      <c r="AC338" s="67" t="str">
        <f t="shared" si="285"/>
        <v>-0,525676613239324-0,888380020426848i</v>
      </c>
      <c r="AD338" s="68">
        <f t="shared" si="286"/>
        <v>0.275758559756712</v>
      </c>
      <c r="AE338" s="31">
        <f t="shared" si="287"/>
        <v>-120.613861363658</v>
      </c>
      <c r="AF338" s="32" t="str">
        <f t="shared" si="288"/>
        <v>236,914774604583</v>
      </c>
      <c r="AG338" s="32" t="str">
        <f t="shared" si="270"/>
        <v>1+32,825774592075i</v>
      </c>
      <c r="AH338" s="32">
        <f t="shared" si="289"/>
        <v>32.8410029927485</v>
      </c>
      <c r="AI338" s="32">
        <f t="shared" si="290"/>
        <v>1.54034187947359</v>
      </c>
      <c r="AJ338" s="32" t="str">
        <f t="shared" si="271"/>
        <v>1+1,56144225086627i</v>
      </c>
      <c r="AK338" s="32">
        <f t="shared" si="291"/>
        <v>1.85421193578035</v>
      </c>
      <c r="AL338" s="32">
        <f t="shared" si="292"/>
        <v>1.00117562845711</v>
      </c>
      <c r="AM338" s="32" t="str">
        <f t="shared" si="272"/>
        <v>1-0,0742238736368467i</v>
      </c>
      <c r="AN338" s="32">
        <f t="shared" si="293"/>
        <v>1.00275080823585</v>
      </c>
      <c r="AO338" s="32">
        <f t="shared" si="294"/>
        <v>-0.0740880181154084</v>
      </c>
      <c r="AP338" s="30" t="str">
        <f t="shared" si="295"/>
        <v>10,9689309075244-7,71964685733953i</v>
      </c>
      <c r="AQ338" s="32">
        <f t="shared" si="296"/>
        <v>22.5505625189294</v>
      </c>
      <c r="AR338" s="31">
        <f t="shared" si="297"/>
        <v>-35.1368813896372</v>
      </c>
      <c r="AS338" t="str">
        <f t="shared" si="273"/>
        <v>-0,000272527472527473</v>
      </c>
      <c r="AT338" t="str">
        <f t="shared" si="274"/>
        <v>0,0223760251128604i</v>
      </c>
      <c r="AU338">
        <f t="shared" si="298"/>
        <v>0.0223760251128604</v>
      </c>
      <c r="AV338">
        <f t="shared" si="299"/>
        <v>1.5707963267949</v>
      </c>
      <c r="AW338" t="str">
        <f t="shared" si="275"/>
        <v>1+1,14561144408228i</v>
      </c>
      <c r="AX338">
        <f t="shared" si="300"/>
        <v>1.5206661634995</v>
      </c>
      <c r="AY338">
        <f t="shared" si="301"/>
        <v>0.853159041604466</v>
      </c>
      <c r="AZ338" t="str">
        <f t="shared" si="276"/>
        <v>1+54,7699769117632i</v>
      </c>
      <c r="BA338">
        <f t="shared" si="302"/>
        <v>54.7791052401833</v>
      </c>
      <c r="BB338">
        <f t="shared" si="303"/>
        <v>1.55254017701645</v>
      </c>
      <c r="BC338" s="30" t="str">
        <f t="shared" si="304"/>
        <v>-0,282437103470676+0,335742618739339i</v>
      </c>
      <c r="BD338" s="32">
        <f t="shared" si="305"/>
        <v>-7.15583201129554</v>
      </c>
      <c r="BE338" s="31">
        <f t="shared" si="306"/>
        <v>130.071587330174</v>
      </c>
      <c r="BF338" s="30" t="str">
        <f t="shared" si="307"/>
        <v>0,446737614499407+0,0744194370115816i</v>
      </c>
      <c r="BG338" s="68">
        <f t="shared" si="308"/>
        <v>-6.88007345153883</v>
      </c>
      <c r="BH338" s="31">
        <f t="shared" si="309"/>
        <v>9.45772596651603</v>
      </c>
      <c r="BI338" s="30" t="str">
        <f t="shared" si="316"/>
        <v>-0,506218622065083+5,8630522858666i</v>
      </c>
      <c r="BJ338" s="68">
        <f t="shared" si="310"/>
        <v>15.3947305076339</v>
      </c>
      <c r="BK338" s="31">
        <f t="shared" si="317"/>
        <v>94.934705940537</v>
      </c>
      <c r="BL338" s="32">
        <f t="shared" si="311"/>
        <v>-6.88007345153883</v>
      </c>
      <c r="BM338" s="31">
        <f t="shared" si="312"/>
        <v>9.45772596651603</v>
      </c>
      <c r="BO338">
        <f t="shared" si="313"/>
        <v>0</v>
      </c>
      <c r="BP338">
        <f t="shared" si="314"/>
        <v>0</v>
      </c>
    </row>
    <row r="339" spans="14:68">
      <c r="N339" s="7">
        <v>21</v>
      </c>
      <c r="O339" s="18">
        <f t="shared" si="318"/>
        <v>16218.1009735893</v>
      </c>
      <c r="P339" s="86" t="str">
        <f t="shared" ref="P339:P402" si="319">COMPLEX(Adc,0)</f>
        <v>96,0576923076923</v>
      </c>
      <c r="Q339" s="4" t="str">
        <f t="shared" ref="Q339:Q402" si="320">IMSUM(COMPLEX(1,0),IMDIV(COMPLEX(0,2*PI()*O339),COMPLEX(wp_lf,0)))</f>
        <v>1+136,022603424792i</v>
      </c>
      <c r="R339" s="4">
        <f t="shared" si="277"/>
        <v>136.02627923478</v>
      </c>
      <c r="S339" s="4">
        <f t="shared" si="278"/>
        <v>1.56344473993006</v>
      </c>
      <c r="T339" s="4" t="str">
        <f t="shared" ref="T339:T402" si="321">IMSUM(COMPLEX(1,0),IMDIV(COMPLEX(0,2*PI()*O339),COMPLEX(wz_esr,0)))</f>
        <v>1+1,59781291316254i</v>
      </c>
      <c r="U339" s="4">
        <f t="shared" si="279"/>
        <v>1.88494193689593</v>
      </c>
      <c r="V339" s="4">
        <f t="shared" si="280"/>
        <v>1.0115820568175</v>
      </c>
      <c r="W339" t="str">
        <f t="shared" ref="W339:W402" si="322">IMSUB(COMPLEX(1,0),IMDIV(COMPLEX(0,2*PI()*O339),COMPLEX(wz_rhp,0)))</f>
        <v>1-0,758598817898883i</v>
      </c>
      <c r="X339" s="4">
        <f t="shared" si="281"/>
        <v>1.25517814134791</v>
      </c>
      <c r="Y339" s="4">
        <f t="shared" si="282"/>
        <v>-0.648981676475174</v>
      </c>
      <c r="Z339" t="str">
        <f t="shared" ref="Z339:Z402" si="323">IMSUM(COMPLEX(1,0),IMDIV(COMPLEX(0,2*PI()*O339),COMPLEX(Q*(wsl/2),0)),IMDIV(IMPOWER(COMPLEX(0,2*PI()*O339),2),IMPOWER(COMPLEX(wsl/2,0),2)))</f>
        <v>0,997852842455596+1,30038269185384i</v>
      </c>
      <c r="AA339" s="4">
        <f t="shared" si="283"/>
        <v>1.6391172747762</v>
      </c>
      <c r="AB339" s="4">
        <f t="shared" si="284"/>
        <v>0.916281348453807</v>
      </c>
      <c r="AC339" s="67" t="str">
        <f t="shared" si="285"/>
        <v>-0,52958258217136-0,870929250266498i</v>
      </c>
      <c r="AD339" s="68">
        <f t="shared" si="286"/>
        <v>0.166052942028186</v>
      </c>
      <c r="AE339" s="31">
        <f t="shared" si="287"/>
        <v>-121.302367769427</v>
      </c>
      <c r="AF339" s="32" t="str">
        <f t="shared" si="288"/>
        <v>236,914774604583</v>
      </c>
      <c r="AG339" s="32" t="str">
        <f t="shared" ref="AG339:AG402" si="324">IMSUM(COMPLEX(1,0),IMDIV(COMPLEX(0,2*PI()*O339),COMPLEX(wp_lf_DCM,0)))</f>
        <v>1+33,5903851062579i</v>
      </c>
      <c r="AH339" s="32">
        <f t="shared" si="289"/>
        <v>33.6052670215059</v>
      </c>
      <c r="AI339" s="32">
        <f t="shared" si="290"/>
        <v>1.54103469328603</v>
      </c>
      <c r="AJ339" s="32" t="str">
        <f t="shared" ref="AJ339:AJ402" si="325">IMSUM(COMPLEX(1,0),IMDIV(COMPLEX(0,2*PI()*O339),COMPLEX(wz1_dcm,0)))</f>
        <v>1+1,59781291316254i</v>
      </c>
      <c r="AK339" s="32">
        <f t="shared" si="291"/>
        <v>1.88494193689593</v>
      </c>
      <c r="AL339" s="32">
        <f t="shared" si="292"/>
        <v>1.0115820568175</v>
      </c>
      <c r="AM339" s="32" t="str">
        <f t="shared" ref="AM339:AM402" si="326">IMSUB(COMPLEX(1,0),IMDIV(COMPLEX(0,2*PI()*O339),COMPLEX(wz2_dcm,0)))</f>
        <v>1-0,0759527697525174i</v>
      </c>
      <c r="AN339" s="32">
        <f t="shared" si="293"/>
        <v>1.00288026365717</v>
      </c>
      <c r="AO339" s="32">
        <f t="shared" si="294"/>
        <v>-0.0758072205091406</v>
      </c>
      <c r="AP339" s="30" t="str">
        <f t="shared" si="295"/>
        <v>10,9595017320963-7,5827308981309i</v>
      </c>
      <c r="AQ339" s="32">
        <f t="shared" si="296"/>
        <v>22.4946371242065</v>
      </c>
      <c r="AR339" s="31">
        <f t="shared" si="297"/>
        <v>-34.6788353135125</v>
      </c>
      <c r="AS339" t="str">
        <f t="shared" ref="AS339:AS402" si="327">COMPLEX(Adc_ea,0)</f>
        <v>-0,000272527472527473</v>
      </c>
      <c r="AT339" t="str">
        <f t="shared" ref="AT339:AT402" si="328">COMPLEX(0,2*PI()*O339*wp0_ea)</f>
        <v>0,0228972296930882i</v>
      </c>
      <c r="AU339">
        <f t="shared" si="298"/>
        <v>0.0228972296930882</v>
      </c>
      <c r="AV339">
        <f t="shared" si="299"/>
        <v>1.5707963267949</v>
      </c>
      <c r="AW339" t="str">
        <f t="shared" ref="AW339:AW402" si="329">IMSUM(COMPLEX(1,0),IMDIV(COMPLEX(0,2*PI()*O339),COMPLEX(wp1_ea,0)))</f>
        <v>1+1,17229616260603i</v>
      </c>
      <c r="AX339">
        <f t="shared" si="300"/>
        <v>1.54086933023564</v>
      </c>
      <c r="AY339">
        <f t="shared" si="301"/>
        <v>0.864547693558601</v>
      </c>
      <c r="AZ339" t="str">
        <f t="shared" ref="AZ339:AZ402" si="330">IMSUM(COMPLEX(1,0),IMDIV(COMPLEX(0,2*PI()*O339),COMPLEX(wz_ea,0)))</f>
        <v>1+56,045733561186i</v>
      </c>
      <c r="BA339">
        <f t="shared" si="302"/>
        <v>56.0546541369354</v>
      </c>
      <c r="BB339">
        <f t="shared" si="303"/>
        <v>1.55295564851996</v>
      </c>
      <c r="BC339" s="30" t="str">
        <f t="shared" si="304"/>
        <v>-0,27507928830414+0,334376596942095i</v>
      </c>
      <c r="BD339" s="32">
        <f t="shared" si="305"/>
        <v>-7.27053571937094</v>
      </c>
      <c r="BE339" s="31">
        <f t="shared" si="306"/>
        <v>129.442870402518</v>
      </c>
      <c r="BF339" s="30" t="str">
        <f t="shared" si="307"/>
        <v>0,436895558683408+0,0624945767002998i</v>
      </c>
      <c r="BG339" s="68">
        <f t="shared" si="308"/>
        <v>-7.10448277734276</v>
      </c>
      <c r="BH339" s="31">
        <f t="shared" si="309"/>
        <v>8.14050263309117</v>
      </c>
      <c r="BI339" s="30" t="str">
        <f t="shared" si="316"/>
        <v>-0,479244183388354+5,75045311221902i</v>
      </c>
      <c r="BJ339" s="68">
        <f t="shared" si="310"/>
        <v>15.2241014048356</v>
      </c>
      <c r="BK339" s="31">
        <f t="shared" si="317"/>
        <v>94.7640350890053</v>
      </c>
      <c r="BL339" s="32">
        <f t="shared" si="311"/>
        <v>-7.10448277734276</v>
      </c>
      <c r="BM339" s="31">
        <f t="shared" si="312"/>
        <v>8.14050263309117</v>
      </c>
      <c r="BO339">
        <f t="shared" si="313"/>
        <v>0</v>
      </c>
      <c r="BP339">
        <f t="shared" si="314"/>
        <v>0</v>
      </c>
    </row>
    <row r="340" spans="14:68">
      <c r="N340" s="7">
        <v>22</v>
      </c>
      <c r="O340" s="18">
        <f t="shared" si="318"/>
        <v>16595.8690743756</v>
      </c>
      <c r="P340" s="86" t="str">
        <f t="shared" si="319"/>
        <v>96,0576923076923</v>
      </c>
      <c r="Q340" s="4" t="str">
        <f t="shared" si="320"/>
        <v>1+139,190976876374i</v>
      </c>
      <c r="R340" s="4">
        <f t="shared" ref="R340:R403" si="331">IMABS(Q340)</f>
        <v>139.194569016896</v>
      </c>
      <c r="S340" s="4">
        <f t="shared" ref="S340:S403" si="332">IMARGUMENT(Q340)</f>
        <v>1.56361207665241</v>
      </c>
      <c r="T340" s="4" t="str">
        <f t="shared" si="321"/>
        <v>1+1,63503075701493i</v>
      </c>
      <c r="U340" s="4">
        <f t="shared" ref="U340:U403" si="333">IMABS(T340)</f>
        <v>1.91659217789931</v>
      </c>
      <c r="V340" s="4">
        <f t="shared" ref="V340:V403" si="334">IMARGUMENT(T340)</f>
        <v>1.02188428592174</v>
      </c>
      <c r="W340" t="str">
        <f t="shared" si="322"/>
        <v>1-0,776268854308394i</v>
      </c>
      <c r="X340" s="4">
        <f t="shared" ref="X340:X403" si="335">IMABS(W340)</f>
        <v>1.26593575436089</v>
      </c>
      <c r="Y340" s="4">
        <f t="shared" ref="Y340:Y403" si="336">IMARGUMENT(W340)</f>
        <v>-0.660102305731817</v>
      </c>
      <c r="Z340" t="str">
        <f t="shared" si="323"/>
        <v>0,997751650038091+1,33067249585722i</v>
      </c>
      <c r="AA340" s="4">
        <f t="shared" ref="AA340:AA403" si="337">IMABS(Z340)</f>
        <v>1.66318899899699</v>
      </c>
      <c r="AB340" s="4">
        <f t="shared" ref="AB340:AB403" si="338">IMARGUMENT(Z340)</f>
        <v>0.927416778139684</v>
      </c>
      <c r="AC340" s="67" t="str">
        <f t="shared" ref="AC340:AC403" si="339">(IMDIV(IMPRODUCT(P340,T340,W340),IMPRODUCT(Q340,Z340)))</f>
        <v>-0,533434673393059-0,853778058326354i</v>
      </c>
      <c r="AD340" s="68">
        <f t="shared" ref="AD340:AD403" si="340">20*LOG(IMABS(AC340))</f>
        <v>0.0581926379245821</v>
      </c>
      <c r="AE340" s="31">
        <f t="shared" ref="AE340:AE403" si="341">(180/PI())*IMARGUMENT(AC340)</f>
        <v>-121.996859456125</v>
      </c>
      <c r="AF340" s="32" t="str">
        <f t="shared" ref="AF340:AF403" si="342">COMPLEX($B$68,0)</f>
        <v>236,914774604583</v>
      </c>
      <c r="AG340" s="32" t="str">
        <f t="shared" si="324"/>
        <v>1+34,3728056872457i</v>
      </c>
      <c r="AH340" s="32">
        <f t="shared" ref="AH340:AH403" si="343">IMABS(AG340)</f>
        <v>34.3873489936801</v>
      </c>
      <c r="AI340" s="32">
        <f t="shared" ref="AI340:AI403" si="344">IMARGUMENT(AG340)</f>
        <v>1.5417117643474</v>
      </c>
      <c r="AJ340" s="32" t="str">
        <f t="shared" si="325"/>
        <v>1+1,63503075701493i</v>
      </c>
      <c r="AK340" s="32">
        <f t="shared" ref="AK340:AK403" si="345">IMABS(AJ340)</f>
        <v>1.91659217789931</v>
      </c>
      <c r="AL340" s="32">
        <f t="shared" ref="AL340:AL403" si="346">IMARGUMENT(AJ340)</f>
        <v>1.02188428592174</v>
      </c>
      <c r="AM340" s="32" t="str">
        <f t="shared" si="326"/>
        <v>1-0,077721937032065i</v>
      </c>
      <c r="AN340" s="32">
        <f t="shared" ref="AN340:AN403" si="347">IMABS(AM340)</f>
        <v>1.0030158022165</v>
      </c>
      <c r="AO340" s="32">
        <f t="shared" ref="AO340:AO403" si="348">IMARGUMENT(AM340)</f>
        <v>-0.0775660035229544</v>
      </c>
      <c r="AP340" s="30" t="str">
        <f t="shared" ref="AP340:AP403" si="349">(IMDIV(IMPRODUCT(AF340,AJ340,AM340),IMPRODUCT(AG340)))</f>
        <v>10,9504962047778-7,44981014977748i</v>
      </c>
      <c r="AQ340" s="32">
        <f t="shared" ref="AQ340:AQ403" si="350">20*LOG(IMABS(AP340))</f>
        <v>22.440618712085</v>
      </c>
      <c r="AR340" s="31">
        <f t="shared" ref="AR340:AR403" si="351">(180/PI())*IMARGUMENT(AP340)</f>
        <v>-34.2281252242803</v>
      </c>
      <c r="AS340" t="str">
        <f t="shared" si="327"/>
        <v>-0,000272527472527473</v>
      </c>
      <c r="AT340" t="str">
        <f t="shared" si="328"/>
        <v>0,02343057468758i</v>
      </c>
      <c r="AU340">
        <f t="shared" ref="AU340:AU403" si="352">IMABS(AT340)</f>
        <v>0.02343057468758</v>
      </c>
      <c r="AV340">
        <f t="shared" ref="AV340:AV403" si="353">IMARGUMENT(AT340)</f>
        <v>1.5707963267949</v>
      </c>
      <c r="AW340" t="str">
        <f t="shared" si="329"/>
        <v>1+1,19960244807237i</v>
      </c>
      <c r="AX340">
        <f t="shared" ref="AX340:AX403" si="354">IMABS(AW340)</f>
        <v>1.56174454806835</v>
      </c>
      <c r="AY340">
        <f t="shared" ref="AY340:AY403" si="355">IMARGUMENT(AW340)</f>
        <v>0.875895087619666</v>
      </c>
      <c r="AZ340" t="str">
        <f t="shared" si="330"/>
        <v>1+57,3512064003961i</v>
      </c>
      <c r="BA340">
        <f t="shared" ref="BA340:BA403" si="356">IMABS(AZ340)</f>
        <v>57.3599239502707</v>
      </c>
      <c r="BB340">
        <f t="shared" ref="BB340:BB403" si="357">IMARGUMENT(AZ340)</f>
        <v>1.55336166868969</v>
      </c>
      <c r="BC340" s="30" t="str">
        <f t="shared" ref="BC340:BC403" si="358">IMPRODUCT(AS340,IMDIV(AZ340,IMPRODUCT(AT340,AW340)))</f>
        <v>-0,267774684891865+0,332854443165214i</v>
      </c>
      <c r="BD340" s="32">
        <f t="shared" ref="BD340:BD403" si="359">20*LOG(IMABS(BC340))</f>
        <v>-7.3874816789193</v>
      </c>
      <c r="BE340" s="31">
        <f t="shared" ref="BE340:BE403" si="360">(180/PI())*IMARGUMENT(BC340)</f>
        <v>128.815975856469</v>
      </c>
      <c r="BF340" s="30" t="str">
        <f t="shared" ref="BF340:BF403" si="361">IMPRODUCT(AC340,BC340)</f>
        <v>0,427024121769117+0,0510640493586633i</v>
      </c>
      <c r="BG340" s="68">
        <f t="shared" ref="BG340:BG403" si="362">20*LOG(IMABS(BF340))</f>
        <v>-7.32928904099473</v>
      </c>
      <c r="BH340" s="31">
        <f t="shared" ref="BH340:BH403" si="363">(180/PI())*IMARGUMENT(BF340)</f>
        <v>6.81911640034401</v>
      </c>
      <c r="BI340" s="30" t="str">
        <f t="shared" si="316"/>
        <v>-0,452563261553196+5,63979188198499i</v>
      </c>
      <c r="BJ340" s="68">
        <f t="shared" ref="BJ340:BJ403" si="364">20*LOG(IMABS(BI340))</f>
        <v>15.0531370331657</v>
      </c>
      <c r="BK340" s="31">
        <f t="shared" si="317"/>
        <v>94.5878506321891</v>
      </c>
      <c r="BL340" s="32">
        <f t="shared" ref="BL340:BL403" si="365">IF($B$31=0,BJ340,BG340)</f>
        <v>-7.32928904099473</v>
      </c>
      <c r="BM340" s="31">
        <f t="shared" ref="BM340:BM403" si="366">IF($B$31=0,BK340,BH340)</f>
        <v>6.81911640034401</v>
      </c>
      <c r="BO340">
        <f t="shared" ref="BO340:BO403" si="367">SUM((BL341&lt;0)*(BL340&gt;0))*O340</f>
        <v>0</v>
      </c>
      <c r="BP340">
        <f t="shared" ref="BP340:BP403" si="368">IF(BO340&gt;0,BM340,0)</f>
        <v>0</v>
      </c>
    </row>
    <row r="341" spans="14:68">
      <c r="N341" s="7">
        <v>23</v>
      </c>
      <c r="O341" s="18">
        <f t="shared" si="318"/>
        <v>16982.4365246175</v>
      </c>
      <c r="P341" s="86" t="str">
        <f t="shared" si="319"/>
        <v>96,0576923076923</v>
      </c>
      <c r="Q341" s="4" t="str">
        <f t="shared" si="320"/>
        <v>1+142,433151226307i</v>
      </c>
      <c r="R341" s="4">
        <f t="shared" si="331"/>
        <v>142.436661601766</v>
      </c>
      <c r="S341" s="4">
        <f t="shared" si="332"/>
        <v>1.5637756047147</v>
      </c>
      <c r="T341" s="4" t="str">
        <f t="shared" si="321"/>
        <v>1+1,67311551581689i</v>
      </c>
      <c r="U341" s="4">
        <f t="shared" si="333"/>
        <v>1.94918329801669</v>
      </c>
      <c r="V341" s="4">
        <f t="shared" si="334"/>
        <v>1.03207903027335</v>
      </c>
      <c r="W341" t="str">
        <f t="shared" si="322"/>
        <v>1-0,794350478739593i</v>
      </c>
      <c r="X341" s="4">
        <f t="shared" si="335"/>
        <v>1.27710323900373</v>
      </c>
      <c r="Y341" s="4">
        <f t="shared" si="336"/>
        <v>-0.671286606208099</v>
      </c>
      <c r="Z341" t="str">
        <f t="shared" si="323"/>
        <v>0,997645688568876+1,36166784003145i</v>
      </c>
      <c r="AA341" s="4">
        <f t="shared" si="337"/>
        <v>1.68802731805382</v>
      </c>
      <c r="AB341" s="4">
        <f t="shared" si="338"/>
        <v>0.93848256484173</v>
      </c>
      <c r="AC341" s="67" t="str">
        <f t="shared" si="339"/>
        <v>-0,537230364810673-0,836920314296644i</v>
      </c>
      <c r="AD341" s="68">
        <f t="shared" si="340"/>
        <v>-0.0478084054302829</v>
      </c>
      <c r="AE341" s="31">
        <f t="shared" si="341"/>
        <v>-122.696949188481</v>
      </c>
      <c r="AF341" s="32" t="str">
        <f t="shared" si="342"/>
        <v>236,914774604583</v>
      </c>
      <c r="AG341" s="32" t="str">
        <f t="shared" si="324"/>
        <v>1+35,1734511847867i</v>
      </c>
      <c r="AH341" s="32">
        <f t="shared" si="343"/>
        <v>35.1876635804165</v>
      </c>
      <c r="AI341" s="32">
        <f t="shared" si="344"/>
        <v>1.54237344916523</v>
      </c>
      <c r="AJ341" s="32" t="str">
        <f t="shared" si="325"/>
        <v>1+1,67311551581689i</v>
      </c>
      <c r="AK341" s="32">
        <f t="shared" si="345"/>
        <v>1.94918329801669</v>
      </c>
      <c r="AL341" s="32">
        <f t="shared" si="346"/>
        <v>1.03207903027335</v>
      </c>
      <c r="AM341" s="32" t="str">
        <f t="shared" si="326"/>
        <v>1-0,0795323135113986i</v>
      </c>
      <c r="AN341" s="32">
        <f t="shared" si="347"/>
        <v>1.00315770888354</v>
      </c>
      <c r="AO341" s="32">
        <f t="shared" si="348"/>
        <v>-0.0793652561387561</v>
      </c>
      <c r="AP341" s="30" t="str">
        <f t="shared" si="349"/>
        <v>10,9418953228279-7,32081581867741i</v>
      </c>
      <c r="AQ341" s="32">
        <f t="shared" si="350"/>
        <v>22.3884722078443</v>
      </c>
      <c r="AR341" s="31">
        <f t="shared" si="351"/>
        <v>-33.7850107283109</v>
      </c>
      <c r="AS341" t="str">
        <f t="shared" si="327"/>
        <v>-0,000272527472527473</v>
      </c>
      <c r="AT341" t="str">
        <f t="shared" si="328"/>
        <v>0,0239763428829115i</v>
      </c>
      <c r="AU341">
        <f t="shared" si="352"/>
        <v>0.0239763428829115</v>
      </c>
      <c r="AV341">
        <f t="shared" si="353"/>
        <v>1.5707963267949</v>
      </c>
      <c r="AW341" t="str">
        <f t="shared" si="329"/>
        <v>1+1,2275447786353i</v>
      </c>
      <c r="AX341">
        <f t="shared" si="354"/>
        <v>1.5833086191753</v>
      </c>
      <c r="AY341">
        <f t="shared" si="355"/>
        <v>0.887195552109873</v>
      </c>
      <c r="AZ341" t="str">
        <f t="shared" si="330"/>
        <v>1+58,6870876083728i</v>
      </c>
      <c r="BA341">
        <f t="shared" si="356"/>
        <v>58.6956067517223</v>
      </c>
      <c r="BB341">
        <f t="shared" si="357"/>
        <v>1.55375845226714</v>
      </c>
      <c r="BC341" s="30" t="str">
        <f t="shared" si="358"/>
        <v>-0,260530373468118+0,331179215106487i</v>
      </c>
      <c r="BD341" s="32">
        <f t="shared" si="359"/>
        <v>-7.50665263705448</v>
      </c>
      <c r="BE341" s="31">
        <f t="shared" si="360"/>
        <v>128.191240959011</v>
      </c>
      <c r="BF341" s="30" t="str">
        <f t="shared" si="361"/>
        <v>0,417135440377975+0,040123631497389i</v>
      </c>
      <c r="BG341" s="68">
        <f t="shared" si="362"/>
        <v>-7.55446104248476</v>
      </c>
      <c r="BH341" s="31">
        <f t="shared" si="363"/>
        <v>5.49429177053035</v>
      </c>
      <c r="BI341" s="30" t="str">
        <f t="shared" si="316"/>
        <v>-0,426194038136668+5,53102318412282i</v>
      </c>
      <c r="BJ341" s="68">
        <f t="shared" si="364"/>
        <v>14.8818195707899</v>
      </c>
      <c r="BK341" s="31">
        <f t="shared" si="317"/>
        <v>94.4062302307004</v>
      </c>
      <c r="BL341" s="32">
        <f t="shared" si="365"/>
        <v>-7.55446104248476</v>
      </c>
      <c r="BM341" s="31">
        <f t="shared" si="366"/>
        <v>5.49429177053035</v>
      </c>
      <c r="BO341">
        <f t="shared" si="367"/>
        <v>0</v>
      </c>
      <c r="BP341">
        <f t="shared" si="368"/>
        <v>0</v>
      </c>
    </row>
    <row r="342" spans="14:68">
      <c r="N342" s="7">
        <v>24</v>
      </c>
      <c r="O342" s="18">
        <f t="shared" si="318"/>
        <v>17378.0082874938</v>
      </c>
      <c r="P342" s="86" t="str">
        <f t="shared" si="319"/>
        <v>96,0576923076923</v>
      </c>
      <c r="Q342" s="4" t="str">
        <f t="shared" si="320"/>
        <v>1+145,750845518344i</v>
      </c>
      <c r="R342" s="4">
        <f t="shared" si="331"/>
        <v>145.754275989805</v>
      </c>
      <c r="S342" s="4">
        <f t="shared" si="332"/>
        <v>1.56393541078668</v>
      </c>
      <c r="T342" s="4" t="str">
        <f t="shared" si="321"/>
        <v>1+1,71208738261161i</v>
      </c>
      <c r="U342" s="4">
        <f t="shared" si="333"/>
        <v>1.98273629252553</v>
      </c>
      <c r="V342" s="4">
        <f t="shared" si="334"/>
        <v>1.04216321824976</v>
      </c>
      <c r="W342" t="str">
        <f t="shared" si="322"/>
        <v>1-0,812853278309084i</v>
      </c>
      <c r="X342" s="4">
        <f t="shared" si="335"/>
        <v>1.28869331186975</v>
      </c>
      <c r="Y342" s="4">
        <f t="shared" si="336"/>
        <v>-0.682529316313921</v>
      </c>
      <c r="Z342" t="str">
        <f t="shared" si="323"/>
        <v>0,997534733289468+1,39338515851824i</v>
      </c>
      <c r="AA342" s="4">
        <f t="shared" si="337"/>
        <v>1.71365041478646</v>
      </c>
      <c r="AB342" s="4">
        <f t="shared" si="338"/>
        <v>0.949473851354166</v>
      </c>
      <c r="AC342" s="67" t="str">
        <f t="shared" si="339"/>
        <v>-0,540967283873285-0,820350218050749i</v>
      </c>
      <c r="AD342" s="68">
        <f t="shared" si="340"/>
        <v>-0.151937105802246</v>
      </c>
      <c r="AE342" s="31">
        <f t="shared" si="341"/>
        <v>-123.402238159016</v>
      </c>
      <c r="AF342" s="32" t="str">
        <f t="shared" si="342"/>
        <v>236,914774604583</v>
      </c>
      <c r="AG342" s="32" t="str">
        <f t="shared" si="324"/>
        <v>1+35,9927461117213i</v>
      </c>
      <c r="AH342" s="32">
        <f t="shared" si="343"/>
        <v>36.0066351199724</v>
      </c>
      <c r="AI342" s="32">
        <f t="shared" si="344"/>
        <v>1.54302009625461</v>
      </c>
      <c r="AJ342" s="32" t="str">
        <f t="shared" si="325"/>
        <v>1+1,71208738261161i</v>
      </c>
      <c r="AK342" s="32">
        <f t="shared" si="345"/>
        <v>1.98273629252553</v>
      </c>
      <c r="AL342" s="32">
        <f t="shared" si="346"/>
        <v>1.04216321824976</v>
      </c>
      <c r="AM342" s="32" t="str">
        <f t="shared" si="326"/>
        <v>1-0,0813848590760897i</v>
      </c>
      <c r="AN342" s="32">
        <f t="shared" si="347"/>
        <v>1.00330628189344</v>
      </c>
      <c r="AO342" s="32">
        <f t="shared" si="348"/>
        <v>-0.0812058857201744</v>
      </c>
      <c r="AP342" s="30" t="str">
        <f t="shared" si="349"/>
        <v>10,933680933099-7,19568108105784i</v>
      </c>
      <c r="AQ342" s="32">
        <f t="shared" si="350"/>
        <v>22.3381619020801</v>
      </c>
      <c r="AR342" s="31">
        <f t="shared" si="351"/>
        <v>-33.3497397731646</v>
      </c>
      <c r="AS342" t="str">
        <f t="shared" si="327"/>
        <v>-0,000272527472527473</v>
      </c>
      <c r="AT342" t="str">
        <f t="shared" si="328"/>
        <v>0,0245348236526039i</v>
      </c>
      <c r="AU342">
        <f t="shared" si="352"/>
        <v>0.0245348236526039</v>
      </c>
      <c r="AV342">
        <f t="shared" si="353"/>
        <v>1.5707963267949</v>
      </c>
      <c r="AW342" t="str">
        <f t="shared" si="329"/>
        <v>1+1,25613796968833i</v>
      </c>
      <c r="AX342">
        <f t="shared" si="354"/>
        <v>1.60557858695634</v>
      </c>
      <c r="AY342">
        <f t="shared" si="355"/>
        <v>0.898443534825849</v>
      </c>
      <c r="AZ342" t="str">
        <f t="shared" si="330"/>
        <v>1+60,0540854870142i</v>
      </c>
      <c r="BA342">
        <f t="shared" si="356"/>
        <v>60.0624107381781</v>
      </c>
      <c r="BB342">
        <f t="shared" si="357"/>
        <v>1.55414620913217</v>
      </c>
      <c r="BC342" s="30" t="str">
        <f t="shared" si="358"/>
        <v>-0,253353191226261+0,329354345240442i</v>
      </c>
      <c r="BD342" s="32">
        <f t="shared" si="359"/>
        <v>-7.62802920339483</v>
      </c>
      <c r="BE342" s="31">
        <f t="shared" si="360"/>
        <v>127.568995853193</v>
      </c>
      <c r="BF342" s="30" t="str">
        <f t="shared" si="361"/>
        <v>0,407241696652258+0,0296684200897302i</v>
      </c>
      <c r="BG342" s="68">
        <f t="shared" si="362"/>
        <v>-7.77996630919707</v>
      </c>
      <c r="BH342" s="31">
        <f t="shared" si="363"/>
        <v>4.16675769417779</v>
      </c>
      <c r="BI342" s="30" t="str">
        <f t="shared" si="316"/>
        <v>-0,400154125239514+5,42410408972116i</v>
      </c>
      <c r="BJ342" s="68">
        <f t="shared" si="364"/>
        <v>14.7101326986853</v>
      </c>
      <c r="BK342" s="31">
        <f t="shared" si="317"/>
        <v>94.2192560800289</v>
      </c>
      <c r="BL342" s="32">
        <f t="shared" si="365"/>
        <v>-7.77996630919707</v>
      </c>
      <c r="BM342" s="31">
        <f t="shared" si="366"/>
        <v>4.16675769417779</v>
      </c>
      <c r="BO342">
        <f t="shared" si="367"/>
        <v>0</v>
      </c>
      <c r="BP342">
        <f t="shared" si="368"/>
        <v>0</v>
      </c>
    </row>
    <row r="343" spans="14:68">
      <c r="N343" s="7">
        <v>25</v>
      </c>
      <c r="O343" s="18">
        <f t="shared" si="318"/>
        <v>17782.7941003892</v>
      </c>
      <c r="P343" s="86" t="str">
        <f t="shared" si="319"/>
        <v>96,0576923076923</v>
      </c>
      <c r="Q343" s="4" t="str">
        <f t="shared" si="320"/>
        <v>1+149,145818837915i</v>
      </c>
      <c r="R343" s="4">
        <f t="shared" si="331"/>
        <v>149.149171224087</v>
      </c>
      <c r="S343" s="4">
        <f t="shared" si="332"/>
        <v>1.56409157956697</v>
      </c>
      <c r="T343" s="4" t="str">
        <f t="shared" si="321"/>
        <v>1+1,75196702079875i</v>
      </c>
      <c r="U343" s="4">
        <f t="shared" si="333"/>
        <v>2.01727252545769</v>
      </c>
      <c r="V343" s="4">
        <f t="shared" si="334"/>
        <v>1.05213399232357</v>
      </c>
      <c r="W343" t="str">
        <f t="shared" si="322"/>
        <v>1-0,831787063446119i</v>
      </c>
      <c r="X343" s="4">
        <f t="shared" si="335"/>
        <v>1.30071892387107</v>
      </c>
      <c r="Y343" s="4">
        <f t="shared" si="336"/>
        <v>-0.693825029241748</v>
      </c>
      <c r="Z343" t="str">
        <f t="shared" si="323"/>
        <v>0,997418548848842+1,42584126825972i</v>
      </c>
      <c r="AA343" s="4">
        <f t="shared" si="337"/>
        <v>1.74007674654316</v>
      </c>
      <c r="AB343" s="4">
        <f t="shared" si="338"/>
        <v>0.960385959439932</v>
      </c>
      <c r="AC343" s="67" t="str">
        <f t="shared" si="339"/>
        <v>-0,544643215500638-0,804062281139154i</v>
      </c>
      <c r="AD343" s="68">
        <f t="shared" si="340"/>
        <v>-0.254181330895606</v>
      </c>
      <c r="AE343" s="31">
        <f t="shared" si="341"/>
        <v>-124.112317114371</v>
      </c>
      <c r="AF343" s="32" t="str">
        <f t="shared" si="342"/>
        <v>236,914774604583</v>
      </c>
      <c r="AG343" s="32" t="str">
        <f t="shared" si="324"/>
        <v>1+36,8311248690645i</v>
      </c>
      <c r="AH343" s="32">
        <f t="shared" si="343"/>
        <v>36.8446978427103</v>
      </c>
      <c r="AI343" s="32">
        <f t="shared" si="344"/>
        <v>1.54365204631198</v>
      </c>
      <c r="AJ343" s="32" t="str">
        <f t="shared" si="325"/>
        <v>1+1,75196702079875i</v>
      </c>
      <c r="AK343" s="32">
        <f t="shared" si="345"/>
        <v>2.01727252545769</v>
      </c>
      <c r="AL343" s="32">
        <f t="shared" si="346"/>
        <v>1.05213399232357</v>
      </c>
      <c r="AM343" s="32" t="str">
        <f t="shared" si="326"/>
        <v>1-0,0832805559703188i</v>
      </c>
      <c r="AN343" s="32">
        <f t="shared" si="347"/>
        <v>1.00346183335627</v>
      </c>
      <c r="AO343" s="32">
        <f t="shared" si="348"/>
        <v>-0.0830888182783574</v>
      </c>
      <c r="AP343" s="30" t="str">
        <f t="shared" si="349"/>
        <v>10,925835694297-7,07434105498717i</v>
      </c>
      <c r="AQ343" s="32">
        <f t="shared" si="350"/>
        <v>22.2896515671571</v>
      </c>
      <c r="AR343" s="31">
        <f t="shared" si="351"/>
        <v>-32.9225486600982</v>
      </c>
      <c r="AS343" t="str">
        <f t="shared" si="327"/>
        <v>-0,000272527472527473</v>
      </c>
      <c r="AT343" t="str">
        <f t="shared" si="328"/>
        <v>0,0251063131105535i</v>
      </c>
      <c r="AU343">
        <f t="shared" si="352"/>
        <v>0.0251063131105535</v>
      </c>
      <c r="AV343">
        <f t="shared" si="353"/>
        <v>1.5707963267949</v>
      </c>
      <c r="AW343" t="str">
        <f t="shared" si="329"/>
        <v>1+1,28539718171983i</v>
      </c>
      <c r="AX343">
        <f t="shared" si="354"/>
        <v>1.62857174075117</v>
      </c>
      <c r="AY343">
        <f t="shared" si="355"/>
        <v>0.909633615761022</v>
      </c>
      <c r="AZ343" t="str">
        <f t="shared" si="330"/>
        <v>1+61,4529248366907i</v>
      </c>
      <c r="BA343">
        <f t="shared" si="356"/>
        <v>61.4610606073793</v>
      </c>
      <c r="BB343">
        <f t="shared" si="357"/>
        <v>1.55452514441194</v>
      </c>
      <c r="BC343" s="30" t="str">
        <f t="shared" si="358"/>
        <v>-0,246249708369124+0,327383619149104i</v>
      </c>
      <c r="BD343" s="32">
        <f t="shared" si="359"/>
        <v>-7.75158992847546</v>
      </c>
      <c r="BE343" s="31">
        <f t="shared" si="360"/>
        <v>126.949562835438</v>
      </c>
      <c r="BF343" s="30" t="str">
        <f t="shared" si="361"/>
        <v>0,397355052602875+0,019692835205525i</v>
      </c>
      <c r="BG343" s="68">
        <f t="shared" si="362"/>
        <v>-8.00577125937106</v>
      </c>
      <c r="BH343" s="31">
        <f t="shared" si="363"/>
        <v>2.83724572106715</v>
      </c>
      <c r="BI343" s="30" t="str">
        <f t="shared" si="316"/>
        <v>-0,374460475732811+5,31899405352173i</v>
      </c>
      <c r="BJ343" s="68">
        <f t="shared" si="364"/>
        <v>14.5380616386817</v>
      </c>
      <c r="BK343" s="31">
        <f t="shared" si="317"/>
        <v>94.0270141753397</v>
      </c>
      <c r="BL343" s="32">
        <f t="shared" si="365"/>
        <v>-8.00577125937106</v>
      </c>
      <c r="BM343" s="31">
        <f t="shared" si="366"/>
        <v>2.83724572106715</v>
      </c>
      <c r="BO343">
        <f t="shared" si="367"/>
        <v>0</v>
      </c>
      <c r="BP343">
        <f t="shared" si="368"/>
        <v>0</v>
      </c>
    </row>
    <row r="344" spans="14:68">
      <c r="N344" s="7">
        <v>26</v>
      </c>
      <c r="O344" s="18">
        <f t="shared" si="318"/>
        <v>18197.0085860998</v>
      </c>
      <c r="P344" s="86" t="str">
        <f t="shared" si="319"/>
        <v>96,0576923076923</v>
      </c>
      <c r="Q344" s="4" t="str">
        <f t="shared" si="320"/>
        <v>1+152,619871244814i</v>
      </c>
      <c r="R344" s="4">
        <f t="shared" si="331"/>
        <v>152.623147323018</v>
      </c>
      <c r="S344" s="4">
        <f t="shared" si="332"/>
        <v>1.56424419382785</v>
      </c>
      <c r="T344" s="4" t="str">
        <f t="shared" si="321"/>
        <v>1+1,79277557509035i</v>
      </c>
      <c r="U344" s="4">
        <f t="shared" si="333"/>
        <v>2.05281374280292</v>
      </c>
      <c r="V344" s="4">
        <f t="shared" si="334"/>
        <v>1.06198870845611</v>
      </c>
      <c r="W344" t="str">
        <f t="shared" si="322"/>
        <v>1-0,851161873094201i</v>
      </c>
      <c r="X344" s="4">
        <f t="shared" si="335"/>
        <v>1.31319325851499</v>
      </c>
      <c r="Y344" s="4">
        <f t="shared" si="336"/>
        <v>-0.705168204818278</v>
      </c>
      <c r="Z344" t="str">
        <f t="shared" si="323"/>
        <v>0,997296888804224+1,45905337791487i</v>
      </c>
      <c r="AA344" s="4">
        <f t="shared" si="337"/>
        <v>1.76732505330043</v>
      </c>
      <c r="AB344" s="4">
        <f t="shared" si="338"/>
        <v>0.971214397693984</v>
      </c>
      <c r="AC344" s="67" t="str">
        <f t="shared" si="339"/>
        <v>-0,548256108652567-0,788051308089022i</v>
      </c>
      <c r="AD344" s="68">
        <f t="shared" si="340"/>
        <v>-0.354529983307143</v>
      </c>
      <c r="AE344" s="31">
        <f t="shared" si="341"/>
        <v>-124.826767522205</v>
      </c>
      <c r="AF344" s="32" t="str">
        <f t="shared" si="342"/>
        <v>236,914774604583</v>
      </c>
      <c r="AG344" s="32" t="str">
        <f t="shared" si="324"/>
        <v>1+37,6890319763312i</v>
      </c>
      <c r="AH344" s="32">
        <f t="shared" si="343"/>
        <v>37.7022961013373</v>
      </c>
      <c r="AI344" s="32">
        <f t="shared" si="344"/>
        <v>1.54426963238545</v>
      </c>
      <c r="AJ344" s="32" t="str">
        <f t="shared" si="325"/>
        <v>1+1,79277557509035i</v>
      </c>
      <c r="AK344" s="32">
        <f t="shared" si="345"/>
        <v>2.05281374280292</v>
      </c>
      <c r="AL344" s="32">
        <f t="shared" si="346"/>
        <v>1.06198870845611</v>
      </c>
      <c r="AM344" s="32" t="str">
        <f t="shared" si="326"/>
        <v>1-0,0852204093176725i</v>
      </c>
      <c r="AN344" s="32">
        <f t="shared" si="347"/>
        <v>1.00362468989372</v>
      </c>
      <c r="AO344" s="32">
        <f t="shared" si="348"/>
        <v>-0.0850149987328169</v>
      </c>
      <c r="AP344" s="30" t="str">
        <f t="shared" si="349"/>
        <v>10,9183430408951-6,95673277292331i</v>
      </c>
      <c r="AQ344" s="32">
        <f t="shared" si="350"/>
        <v>22.2429045714045</v>
      </c>
      <c r="AR344" s="31">
        <f t="shared" si="351"/>
        <v>-32.5036621035218</v>
      </c>
      <c r="AS344" t="str">
        <f t="shared" si="327"/>
        <v>-0,000272527472527473</v>
      </c>
      <c r="AT344" t="str">
        <f t="shared" si="328"/>
        <v>0,0256911142680358i</v>
      </c>
      <c r="AU344">
        <f t="shared" si="352"/>
        <v>0.0256911142680358</v>
      </c>
      <c r="AV344">
        <f t="shared" si="353"/>
        <v>1.5707963267949</v>
      </c>
      <c r="AW344" t="str">
        <f t="shared" si="329"/>
        <v>1+1,31533792835134i</v>
      </c>
      <c r="AX344">
        <f t="shared" si="354"/>
        <v>1.65230562117291</v>
      </c>
      <c r="AY344">
        <f t="shared" si="355"/>
        <v>0.920760519035682</v>
      </c>
      <c r="AZ344" t="str">
        <f t="shared" si="330"/>
        <v>1+62,8843473405416i</v>
      </c>
      <c r="BA344">
        <f t="shared" si="356"/>
        <v>62.8922979421637</v>
      </c>
      <c r="BB344">
        <f t="shared" si="357"/>
        <v>1.5548954585874</v>
      </c>
      <c r="BC344" s="30" t="str">
        <f t="shared" si="358"/>
        <v>-0,23922620635986+0,325271152137324i</v>
      </c>
      <c r="BD344" s="32">
        <f t="shared" si="359"/>
        <v>-7.87731138915011</v>
      </c>
      <c r="BE344" s="31">
        <f t="shared" si="360"/>
        <v>126.333255678097</v>
      </c>
      <c r="BF344" s="30" t="str">
        <f t="shared" si="361"/>
        <v>0,387487585912014+0,0101906287233156i</v>
      </c>
      <c r="BG344" s="68">
        <f t="shared" si="362"/>
        <v>-8.23184137245726</v>
      </c>
      <c r="BH344" s="31">
        <f t="shared" si="363"/>
        <v>1.50648815589217</v>
      </c>
      <c r="BI344" s="30" t="str">
        <f t="shared" si="316"/>
        <v>-0,349129301248667+5,21565481026824i</v>
      </c>
      <c r="BJ344" s="68">
        <f t="shared" si="364"/>
        <v>14.3655931822544</v>
      </c>
      <c r="BK344" s="31">
        <f t="shared" si="317"/>
        <v>93.8295935745754</v>
      </c>
      <c r="BL344" s="32">
        <f t="shared" si="365"/>
        <v>-8.23184137245726</v>
      </c>
      <c r="BM344" s="31">
        <f t="shared" si="366"/>
        <v>1.50648815589217</v>
      </c>
      <c r="BO344">
        <f t="shared" si="367"/>
        <v>0</v>
      </c>
      <c r="BP344">
        <f t="shared" si="368"/>
        <v>0</v>
      </c>
    </row>
    <row r="345" spans="14:68">
      <c r="N345" s="7">
        <v>27</v>
      </c>
      <c r="O345" s="18">
        <f t="shared" si="318"/>
        <v>18620.8713666287</v>
      </c>
      <c r="P345" s="86" t="str">
        <f t="shared" si="319"/>
        <v>96,0576923076923</v>
      </c>
      <c r="Q345" s="4" t="str">
        <f t="shared" si="320"/>
        <v>1+156,17484472761i</v>
      </c>
      <c r="R345" s="4">
        <f t="shared" si="331"/>
        <v>156.178046234716</v>
      </c>
      <c r="S345" s="4">
        <f t="shared" si="332"/>
        <v>1.56439333445895</v>
      </c>
      <c r="T345" s="4" t="str">
        <f t="shared" si="321"/>
        <v>1+1,83453468272207i</v>
      </c>
      <c r="U345" s="4">
        <f t="shared" si="333"/>
        <v>2.08938208619442</v>
      </c>
      <c r="V345" s="4">
        <f t="shared" si="334"/>
        <v>1.07172493470889</v>
      </c>
      <c r="W345" t="str">
        <f t="shared" si="322"/>
        <v>1-0,870987980033864i</v>
      </c>
      <c r="X345" s="4">
        <f t="shared" si="335"/>
        <v>1.32612973021627</v>
      </c>
      <c r="Y345" s="4">
        <f t="shared" si="336"/>
        <v>-0.716553182154158</v>
      </c>
      <c r="Z345" t="str">
        <f t="shared" si="323"/>
        <v>0,997169495098347+1,49303909698387i</v>
      </c>
      <c r="AA345" s="4">
        <f t="shared" si="337"/>
        <v>1.79541436640044</v>
      </c>
      <c r="AB345" s="4">
        <f t="shared" si="338"/>
        <v>0.981954868419594</v>
      </c>
      <c r="AC345" s="67" t="str">
        <f t="shared" si="339"/>
        <v>-0,55180408154617-0,77231237764092i</v>
      </c>
      <c r="AD345" s="68">
        <f t="shared" si="340"/>
        <v>-0.452973084393754</v>
      </c>
      <c r="AE345" s="31">
        <f t="shared" si="341"/>
        <v>-125.545162772012</v>
      </c>
      <c r="AF345" s="32" t="str">
        <f t="shared" si="342"/>
        <v>236,914774604583</v>
      </c>
      <c r="AG345" s="32" t="str">
        <f t="shared" si="324"/>
        <v>1+38,5669223072253i</v>
      </c>
      <c r="AH345" s="32">
        <f t="shared" si="343"/>
        <v>38.579884606509</v>
      </c>
      <c r="AI345" s="32">
        <f t="shared" si="344"/>
        <v>1.54487318004182</v>
      </c>
      <c r="AJ345" s="32" t="str">
        <f t="shared" si="325"/>
        <v>1+1,83453468272207i</v>
      </c>
      <c r="AK345" s="32">
        <f t="shared" si="345"/>
        <v>2.08938208619442</v>
      </c>
      <c r="AL345" s="32">
        <f t="shared" si="346"/>
        <v>1.07172493470889</v>
      </c>
      <c r="AM345" s="32" t="str">
        <f t="shared" si="326"/>
        <v>1-0,0872054476540724i</v>
      </c>
      <c r="AN345" s="32">
        <f t="shared" si="347"/>
        <v>1.00379519330417</v>
      </c>
      <c r="AO345" s="32">
        <f t="shared" si="348"/>
        <v>-0.0869853911664691</v>
      </c>
      <c r="AP345" s="30" t="str">
        <f t="shared" si="349"/>
        <v>10,9111871486337-6,8427951548168i</v>
      </c>
      <c r="AQ345" s="32">
        <f t="shared" si="350"/>
        <v>22.1978839905802</v>
      </c>
      <c r="AR345" s="31">
        <f t="shared" si="351"/>
        <v>-32.0932933347307</v>
      </c>
      <c r="AS345" t="str">
        <f t="shared" si="327"/>
        <v>-0,000272527472527473</v>
      </c>
      <c r="AT345" t="str">
        <f t="shared" si="328"/>
        <v>0,0262895371943653i</v>
      </c>
      <c r="AU345">
        <f t="shared" si="352"/>
        <v>0.0262895371943653</v>
      </c>
      <c r="AV345">
        <f t="shared" si="353"/>
        <v>1.5707963267949</v>
      </c>
      <c r="AW345" t="str">
        <f t="shared" si="329"/>
        <v>1+1,34597608456302i</v>
      </c>
      <c r="AX345">
        <f t="shared" si="354"/>
        <v>1.67679802606504</v>
      </c>
      <c r="AY345">
        <f t="shared" si="355"/>
        <v>0.931819123978519</v>
      </c>
      <c r="AZ345" t="str">
        <f t="shared" si="330"/>
        <v>1+64,3491119577256i</v>
      </c>
      <c r="BA345">
        <f t="shared" si="356"/>
        <v>64.356881603663</v>
      </c>
      <c r="BB345">
        <f t="shared" si="357"/>
        <v>1.55525734759754</v>
      </c>
      <c r="BC345" s="30" t="str">
        <f t="shared" si="358"/>
        <v>-0,23228865850245+0,323021364382804i</v>
      </c>
      <c r="BD345" s="32">
        <f t="shared" si="359"/>
        <v>-8.00516828028678</v>
      </c>
      <c r="BE345" s="31">
        <f t="shared" si="360"/>
        <v>125.720379000503</v>
      </c>
      <c r="BF345" s="30" t="str">
        <f t="shared" si="361"/>
        <v>0,377651227813834+0,00115489885400299i</v>
      </c>
      <c r="BG345" s="68">
        <f t="shared" si="362"/>
        <v>-8.45814136468053</v>
      </c>
      <c r="BH345" s="31">
        <f t="shared" si="363"/>
        <v>0.175216228491514</v>
      </c>
      <c r="BI345" s="30" t="str">
        <f t="shared" si="316"/>
        <v>-0,324175998324332+5,11405026670723i</v>
      </c>
      <c r="BJ345" s="68">
        <f t="shared" si="364"/>
        <v>14.1927157102934</v>
      </c>
      <c r="BK345" s="31">
        <f t="shared" si="317"/>
        <v>93.6270856657724</v>
      </c>
      <c r="BL345" s="32">
        <f t="shared" si="365"/>
        <v>-8.45814136468053</v>
      </c>
      <c r="BM345" s="31">
        <f t="shared" si="366"/>
        <v>0.175216228491514</v>
      </c>
      <c r="BO345">
        <f t="shared" si="367"/>
        <v>0</v>
      </c>
      <c r="BP345">
        <f t="shared" si="368"/>
        <v>0</v>
      </c>
    </row>
    <row r="346" spans="14:68">
      <c r="N346" s="7">
        <v>28</v>
      </c>
      <c r="O346" s="18">
        <f t="shared" si="318"/>
        <v>19054.6071796325</v>
      </c>
      <c r="P346" s="86" t="str">
        <f t="shared" si="319"/>
        <v>96,0576923076923</v>
      </c>
      <c r="Q346" s="4" t="str">
        <f t="shared" si="320"/>
        <v>1+159,812624180298i</v>
      </c>
      <c r="R346" s="4">
        <f t="shared" si="331"/>
        <v>159.815752813648</v>
      </c>
      <c r="S346" s="4">
        <f t="shared" si="332"/>
        <v>1.56453908051006</v>
      </c>
      <c r="T346" s="4" t="str">
        <f t="shared" si="321"/>
        <v>1+1,87726648492549i</v>
      </c>
      <c r="U346" s="4">
        <f t="shared" si="333"/>
        <v>2.12700010705794</v>
      </c>
      <c r="V346" s="4">
        <f t="shared" si="334"/>
        <v>1.08134044912247</v>
      </c>
      <c r="W346" t="str">
        <f t="shared" si="322"/>
        <v>1-0,891275896329422i</v>
      </c>
      <c r="X346" s="4">
        <f t="shared" si="335"/>
        <v>1.3395419826858</v>
      </c>
      <c r="Y346" s="4">
        <f t="shared" si="336"/>
        <v>-0.727974193027768</v>
      </c>
      <c r="Z346" t="str">
        <f t="shared" si="323"/>
        <v>0,997036097512081+1,52781644514477i</v>
      </c>
      <c r="AA346" s="4">
        <f t="shared" si="337"/>
        <v>1.8243640178969</v>
      </c>
      <c r="AB346" s="4">
        <f t="shared" si="338"/>
        <v>0.992603273511179</v>
      </c>
      <c r="AC346" s="67" t="str">
        <f t="shared" si="339"/>
        <v>-0,555285425541052-0,756840824050013i</v>
      </c>
      <c r="AD346" s="68">
        <f t="shared" si="340"/>
        <v>-0.549501856060089</v>
      </c>
      <c r="AE346" s="31">
        <f t="shared" si="341"/>
        <v>-126.267069403</v>
      </c>
      <c r="AF346" s="32" t="str">
        <f t="shared" si="342"/>
        <v>236,914774604583</v>
      </c>
      <c r="AG346" s="32" t="str">
        <f t="shared" si="324"/>
        <v>1+39,4652613308199i</v>
      </c>
      <c r="AH346" s="32">
        <f t="shared" si="343"/>
        <v>39.4779286679267</v>
      </c>
      <c r="AI346" s="32">
        <f t="shared" si="344"/>
        <v>1.5454630075302</v>
      </c>
      <c r="AJ346" s="32" t="str">
        <f t="shared" si="325"/>
        <v>1+1,87726648492549i</v>
      </c>
      <c r="AK346" s="32">
        <f t="shared" si="345"/>
        <v>2.12700010705794</v>
      </c>
      <c r="AL346" s="32">
        <f t="shared" si="346"/>
        <v>1.08134044912247</v>
      </c>
      <c r="AM346" s="32" t="str">
        <f t="shared" si="326"/>
        <v>1-0,0892367234731184i</v>
      </c>
      <c r="AN346" s="32">
        <f t="shared" si="347"/>
        <v>1.00397370125727</v>
      </c>
      <c r="AO346" s="32">
        <f t="shared" si="348"/>
        <v>-0.0890009790739487</v>
      </c>
      <c r="AP346" s="30" t="str">
        <f t="shared" si="349"/>
        <v>10,9043529015349-6,73246898178399i</v>
      </c>
      <c r="AQ346" s="32">
        <f t="shared" si="350"/>
        <v>22.1545527161833</v>
      </c>
      <c r="AR346" s="31">
        <f t="shared" si="351"/>
        <v>-31.6916442470466</v>
      </c>
      <c r="AS346" t="str">
        <f t="shared" si="327"/>
        <v>-0,000272527472527473</v>
      </c>
      <c r="AT346" t="str">
        <f t="shared" si="328"/>
        <v>0,0269018991812982i</v>
      </c>
      <c r="AU346">
        <f t="shared" si="352"/>
        <v>0.0269018991812982</v>
      </c>
      <c r="AV346">
        <f t="shared" si="353"/>
        <v>1.5707963267949</v>
      </c>
      <c r="AW346" t="str">
        <f t="shared" si="329"/>
        <v>1+1,37732789511083i</v>
      </c>
      <c r="AX346">
        <f t="shared" si="354"/>
        <v>1.70206701708553</v>
      </c>
      <c r="AY346">
        <f t="shared" si="355"/>
        <v>0.942804475312562</v>
      </c>
      <c r="AZ346" t="str">
        <f t="shared" si="330"/>
        <v>1+65,8479953258302i</v>
      </c>
      <c r="BA346">
        <f t="shared" si="356"/>
        <v>65.8555881336623</v>
      </c>
      <c r="BB346">
        <f t="shared" si="357"/>
        <v>1.55561100294132</v>
      </c>
      <c r="BC346" s="30" t="str">
        <f t="shared" si="358"/>
        <v>-0,225442712949645+0,320638954879687i</v>
      </c>
      <c r="BD346" s="32">
        <f t="shared" si="359"/>
        <v>-8.13513351203061</v>
      </c>
      <c r="BE346" s="31">
        <f t="shared" si="360"/>
        <v>125.111227691195</v>
      </c>
      <c r="BF346" s="30" t="str">
        <f t="shared" si="361"/>
        <v>0,36785770362905-0,00742188986052533i</v>
      </c>
      <c r="BG346" s="68">
        <f t="shared" si="362"/>
        <v>-8.6846353680907</v>
      </c>
      <c r="BH346" s="31">
        <f t="shared" si="363"/>
        <v>-1.15584171180485</v>
      </c>
      <c r="BI346" s="30" t="str">
        <f t="shared" si="316"/>
        <v>-0,299615083003232+5,01414639009015i</v>
      </c>
      <c r="BJ346" s="68">
        <f t="shared" si="364"/>
        <v>14.0194192041527</v>
      </c>
      <c r="BK346" s="31">
        <f t="shared" si="317"/>
        <v>93.4195834441484</v>
      </c>
      <c r="BL346" s="32">
        <f t="shared" si="365"/>
        <v>-8.6846353680907</v>
      </c>
      <c r="BM346" s="31">
        <f t="shared" si="366"/>
        <v>-1.15584171180485</v>
      </c>
      <c r="BO346">
        <f t="shared" si="367"/>
        <v>0</v>
      </c>
      <c r="BP346">
        <f t="shared" si="368"/>
        <v>0</v>
      </c>
    </row>
    <row r="347" spans="14:68">
      <c r="N347" s="7">
        <v>29</v>
      </c>
      <c r="O347" s="18">
        <f t="shared" si="318"/>
        <v>19498.4459975805</v>
      </c>
      <c r="P347" s="86" t="str">
        <f t="shared" si="319"/>
        <v>96,0576923076923</v>
      </c>
      <c r="Q347" s="4" t="str">
        <f t="shared" si="320"/>
        <v>1+163,535138401696i</v>
      </c>
      <c r="R347" s="4">
        <f t="shared" si="331"/>
        <v>163.538195820004</v>
      </c>
      <c r="S347" s="4">
        <f t="shared" si="332"/>
        <v>1.56468150923289</v>
      </c>
      <c r="T347" s="4" t="str">
        <f t="shared" si="321"/>
        <v>1+1,92099363866777i</v>
      </c>
      <c r="U347" s="4">
        <f t="shared" si="333"/>
        <v>2.16569078120632</v>
      </c>
      <c r="V347" s="4">
        <f t="shared" si="334"/>
        <v>1.09083323691423</v>
      </c>
      <c r="W347" t="str">
        <f t="shared" si="322"/>
        <v>1-0,91203637890264i</v>
      </c>
      <c r="X347" s="4">
        <f t="shared" si="335"/>
        <v>1.35344388743747</v>
      </c>
      <c r="Y347" s="4">
        <f t="shared" si="336"/>
        <v>-0.739425375931002</v>
      </c>
      <c r="Z347" t="str">
        <f t="shared" si="323"/>
        <v>0,996896413091261+1,56340386180793i</v>
      </c>
      <c r="AA347" s="4">
        <f t="shared" si="337"/>
        <v>1.85419365049883</v>
      </c>
      <c r="AB347" s="4">
        <f t="shared" si="338"/>
        <v>1.00315571934615</v>
      </c>
      <c r="AC347" s="67" t="str">
        <f t="shared" si="339"/>
        <v>-0,558698607726589-0,741632218572936i</v>
      </c>
      <c r="AD347" s="68">
        <f t="shared" si="340"/>
        <v>-0.644108799486905</v>
      </c>
      <c r="AE347" s="31">
        <f t="shared" si="341"/>
        <v>-126.99204835209</v>
      </c>
      <c r="AF347" s="32" t="str">
        <f t="shared" si="342"/>
        <v>236,914774604583</v>
      </c>
      <c r="AG347" s="32" t="str">
        <f t="shared" si="324"/>
        <v>1+40,3845253583564i</v>
      </c>
      <c r="AH347" s="32">
        <f t="shared" si="343"/>
        <v>40.396904441055</v>
      </c>
      <c r="AI347" s="32">
        <f t="shared" si="344"/>
        <v>1.54603942594241</v>
      </c>
      <c r="AJ347" s="32" t="str">
        <f t="shared" si="325"/>
        <v>1+1,92099363866777i</v>
      </c>
      <c r="AK347" s="32">
        <f t="shared" si="345"/>
        <v>2.16569078120632</v>
      </c>
      <c r="AL347" s="32">
        <f t="shared" si="346"/>
        <v>1.09083323691423</v>
      </c>
      <c r="AM347" s="32" t="str">
        <f t="shared" si="326"/>
        <v>1-0,091315313784137i</v>
      </c>
      <c r="AN347" s="32">
        <f t="shared" si="347"/>
        <v>1.00416058801941</v>
      </c>
      <c r="AO347" s="32">
        <f t="shared" si="348"/>
        <v>-0.0910627656022088</v>
      </c>
      <c r="AP347" s="30" t="str">
        <f t="shared" si="349"/>
        <v>10,8978258603699-6,6256968703654i</v>
      </c>
      <c r="AQ347" s="32">
        <f t="shared" si="350"/>
        <v>22.1128735602453</v>
      </c>
      <c r="AR347" s="31">
        <f t="shared" si="351"/>
        <v>-31.2989055793447</v>
      </c>
      <c r="AS347" t="str">
        <f t="shared" si="327"/>
        <v>-0,000272527472527473</v>
      </c>
      <c r="AT347" t="str">
        <f t="shared" si="328"/>
        <v>0,0275285249112658i</v>
      </c>
      <c r="AU347">
        <f t="shared" si="352"/>
        <v>0.0275285249112658</v>
      </c>
      <c r="AV347">
        <f t="shared" si="353"/>
        <v>1.5707963267949</v>
      </c>
      <c r="AW347" t="str">
        <f t="shared" si="329"/>
        <v>1+1,4094099831397i</v>
      </c>
      <c r="AX347">
        <f t="shared" si="354"/>
        <v>1.72813092691898</v>
      </c>
      <c r="AY347">
        <f t="shared" si="355"/>
        <v>0.953711792407477</v>
      </c>
      <c r="AZ347" t="str">
        <f t="shared" si="330"/>
        <v>1+67,3817921726575i</v>
      </c>
      <c r="BA347">
        <f t="shared" si="356"/>
        <v>67.3892121663342</v>
      </c>
      <c r="BB347">
        <f t="shared" si="357"/>
        <v>1.55595661177743</v>
      </c>
      <c r="BC347" s="30" t="str">
        <f t="shared" si="358"/>
        <v>-0,218693678204985+0,318128874439219i</v>
      </c>
      <c r="BD347" s="32">
        <f t="shared" si="359"/>
        <v>-8.26717831187887</v>
      </c>
      <c r="BE347" s="31">
        <f t="shared" si="360"/>
        <v>124.506086383517</v>
      </c>
      <c r="BF347" s="30" t="str">
        <f t="shared" si="361"/>
        <v>0,358118476474201-0,0155478814717797i</v>
      </c>
      <c r="BG347" s="68">
        <f t="shared" si="362"/>
        <v>-8.91128711136577</v>
      </c>
      <c r="BH347" s="31">
        <f t="shared" si="363"/>
        <v>-2.48596196857327</v>
      </c>
      <c r="BI347" s="30" t="str">
        <f t="shared" si="316"/>
        <v>-0,275460134096898+4,91591109404556i</v>
      </c>
      <c r="BJ347" s="68">
        <f t="shared" si="364"/>
        <v>13.8456952483664</v>
      </c>
      <c r="BK347" s="31">
        <f t="shared" si="317"/>
        <v>93.2071808041724</v>
      </c>
      <c r="BL347" s="32">
        <f t="shared" si="365"/>
        <v>-8.91128711136577</v>
      </c>
      <c r="BM347" s="31">
        <f t="shared" si="366"/>
        <v>-2.48596196857327</v>
      </c>
      <c r="BO347">
        <f t="shared" si="367"/>
        <v>0</v>
      </c>
      <c r="BP347">
        <f t="shared" si="368"/>
        <v>0</v>
      </c>
    </row>
    <row r="348" spans="14:68">
      <c r="N348" s="7">
        <v>30</v>
      </c>
      <c r="O348" s="18">
        <f t="shared" si="318"/>
        <v>19952.6231496888</v>
      </c>
      <c r="P348" s="86" t="str">
        <f t="shared" si="319"/>
        <v>96,0576923076923</v>
      </c>
      <c r="Q348" s="4" t="str">
        <f t="shared" si="320"/>
        <v>1+167,344361118119i</v>
      </c>
      <c r="R348" s="4">
        <f t="shared" si="331"/>
        <v>167.347348942346</v>
      </c>
      <c r="S348" s="4">
        <f t="shared" si="332"/>
        <v>1.5648206961219</v>
      </c>
      <c r="T348" s="4" t="str">
        <f t="shared" si="321"/>
        <v>1+1,96573932866464i</v>
      </c>
      <c r="U348" s="4">
        <f t="shared" si="333"/>
        <v>2.20547752386165</v>
      </c>
      <c r="V348" s="4">
        <f t="shared" si="334"/>
        <v>1.10020148704884</v>
      </c>
      <c r="W348" t="str">
        <f t="shared" si="322"/>
        <v>1-0,933280435236187i</v>
      </c>
      <c r="X348" s="4">
        <f t="shared" si="335"/>
        <v>1.36784954245511</v>
      </c>
      <c r="Y348" s="4">
        <f t="shared" si="336"/>
        <v>-0.750900790697433</v>
      </c>
      <c r="Z348" t="str">
        <f t="shared" si="323"/>
        <v>0,996750145546502+1,59982021589273i</v>
      </c>
      <c r="AA348" s="4">
        <f t="shared" si="337"/>
        <v>1.8849232280987</v>
      </c>
      <c r="AB348" s="4">
        <f t="shared" si="338"/>
        <v>1.01360852069604</v>
      </c>
      <c r="AC348" s="67" t="str">
        <f t="shared" si="339"/>
        <v>-0,562042272257083-0,726682351254523i</v>
      </c>
      <c r="AD348" s="68">
        <f t="shared" si="340"/>
        <v>-0.736787769850133</v>
      </c>
      <c r="AE348" s="31">
        <f t="shared" si="341"/>
        <v>-127.719656214974</v>
      </c>
      <c r="AF348" s="32" t="str">
        <f t="shared" si="342"/>
        <v>236,914774604583</v>
      </c>
      <c r="AG348" s="32" t="str">
        <f t="shared" si="324"/>
        <v>1+41,3252017957906i</v>
      </c>
      <c r="AH348" s="32">
        <f t="shared" si="343"/>
        <v>41.3372991795886</v>
      </c>
      <c r="AI348" s="32">
        <f t="shared" si="344"/>
        <v>1.54660273937007</v>
      </c>
      <c r="AJ348" s="32" t="str">
        <f t="shared" si="325"/>
        <v>1+1,96573932866464i</v>
      </c>
      <c r="AK348" s="32">
        <f t="shared" si="345"/>
        <v>2.20547752386165</v>
      </c>
      <c r="AL348" s="32">
        <f t="shared" si="346"/>
        <v>1.10020148704884</v>
      </c>
      <c r="AM348" s="32" t="str">
        <f t="shared" si="326"/>
        <v>1-0,0934423206832257i</v>
      </c>
      <c r="AN348" s="32">
        <f t="shared" si="347"/>
        <v>1.00435624521116</v>
      </c>
      <c r="AO348" s="32">
        <f t="shared" si="348"/>
        <v>-0.0931717737823309</v>
      </c>
      <c r="AP348" s="30" t="str">
        <f t="shared" si="349"/>
        <v>10,8915922325147-6,52242324738182i</v>
      </c>
      <c r="AQ348" s="32">
        <f t="shared" si="350"/>
        <v>22.0728093562865</v>
      </c>
      <c r="AR348" s="31">
        <f t="shared" si="351"/>
        <v>-30.9152571348359</v>
      </c>
      <c r="AS348" t="str">
        <f t="shared" si="327"/>
        <v>-0,000272527472527473</v>
      </c>
      <c r="AT348" t="str">
        <f t="shared" si="328"/>
        <v>0,0281697466295244i</v>
      </c>
      <c r="AU348">
        <f t="shared" si="352"/>
        <v>0.0281697466295244</v>
      </c>
      <c r="AV348">
        <f t="shared" si="353"/>
        <v>1.5707963267949</v>
      </c>
      <c r="AW348" t="str">
        <f t="shared" si="329"/>
        <v>1+1,44223935899739i</v>
      </c>
      <c r="AX348">
        <f t="shared" si="354"/>
        <v>1.7550083671143</v>
      </c>
      <c r="AY348">
        <f t="shared" si="355"/>
        <v>0.964536477569643</v>
      </c>
      <c r="AZ348" t="str">
        <f t="shared" si="330"/>
        <v>1+68,9513157375987i</v>
      </c>
      <c r="BA348">
        <f t="shared" si="356"/>
        <v>68.9585668495657</v>
      </c>
      <c r="BB348">
        <f t="shared" si="357"/>
        <v>1.55629435702181</v>
      </c>
      <c r="BC348" s="30" t="str">
        <f t="shared" si="358"/>
        <v>-0,212046511154363+0,315496298011572i</v>
      </c>
      <c r="BD348" s="32">
        <f t="shared" si="359"/>
        <v>-8.40127233079871</v>
      </c>
      <c r="BE348" s="31">
        <f t="shared" si="360"/>
        <v>123.90522898622</v>
      </c>
      <c r="BF348" s="30" t="str">
        <f t="shared" si="361"/>
        <v>0,348444694604532-0,0232317989221508i</v>
      </c>
      <c r="BG348" s="68">
        <f t="shared" si="362"/>
        <v>-9.13806010064884</v>
      </c>
      <c r="BH348" s="31">
        <f t="shared" si="363"/>
        <v>-3.8144272287533</v>
      </c>
      <c r="BI348" s="30" t="str">
        <f t="shared" si="316"/>
        <v>-0,251723745207122+4,81931412268941i</v>
      </c>
      <c r="BJ348" s="68">
        <f t="shared" si="364"/>
        <v>13.6715370254878</v>
      </c>
      <c r="BK348" s="31">
        <f t="shared" si="317"/>
        <v>92.9899718513844</v>
      </c>
      <c r="BL348" s="32">
        <f t="shared" si="365"/>
        <v>-9.13806010064884</v>
      </c>
      <c r="BM348" s="31">
        <f t="shared" si="366"/>
        <v>-3.8144272287533</v>
      </c>
      <c r="BO348">
        <f t="shared" si="367"/>
        <v>0</v>
      </c>
      <c r="BP348">
        <f t="shared" si="368"/>
        <v>0</v>
      </c>
    </row>
    <row r="349" spans="14:68">
      <c r="N349" s="7">
        <v>31</v>
      </c>
      <c r="O349" s="18">
        <f t="shared" si="318"/>
        <v>20417.3794466953</v>
      </c>
      <c r="P349" s="86" t="str">
        <f t="shared" si="319"/>
        <v>96,0576923076923</v>
      </c>
      <c r="Q349" s="4" t="str">
        <f t="shared" si="320"/>
        <v>1+171,242312029871i</v>
      </c>
      <c r="R349" s="4">
        <f t="shared" si="331"/>
        <v>171.245231844089</v>
      </c>
      <c r="S349" s="4">
        <f t="shared" si="332"/>
        <v>1.56495671495423</v>
      </c>
      <c r="T349" s="4" t="str">
        <f t="shared" si="321"/>
        <v>1+2,01152727967319i</v>
      </c>
      <c r="U349" s="4">
        <f t="shared" si="333"/>
        <v>2.24638420508813</v>
      </c>
      <c r="V349" s="4">
        <f t="shared" si="334"/>
        <v>1.10944358823619</v>
      </c>
      <c r="W349" t="str">
        <f t="shared" si="322"/>
        <v>1-0,95501932920992i</v>
      </c>
      <c r="X349" s="4">
        <f t="shared" si="335"/>
        <v>1.38277327106238</v>
      </c>
      <c r="Y349" s="4">
        <f t="shared" si="336"/>
        <v>-0.762394433626614</v>
      </c>
      <c r="Z349" t="str">
        <f t="shared" si="323"/>
        <v>0,996596984624732+1,63708481583211i</v>
      </c>
      <c r="AA349" s="4">
        <f t="shared" si="337"/>
        <v>1.91657304687068</v>
      </c>
      <c r="AB349" s="4">
        <f t="shared" si="338"/>
        <v>1.02395820367503</v>
      </c>
      <c r="AC349" s="67" t="str">
        <f t="shared" si="339"/>
        <v>-0,565315240491708-0,711987213119551i</v>
      </c>
      <c r="AD349" s="68">
        <f t="shared" si="340"/>
        <v>-0.827534046128973</v>
      </c>
      <c r="AE349" s="31">
        <f t="shared" si="341"/>
        <v>-128.4494465132</v>
      </c>
      <c r="AF349" s="32" t="str">
        <f t="shared" si="342"/>
        <v>236,914774604583</v>
      </c>
      <c r="AG349" s="32" t="str">
        <f t="shared" si="324"/>
        <v>1+42,2877894022204i</v>
      </c>
      <c r="AH349" s="32">
        <f t="shared" si="343"/>
        <v>42.2996114938015</v>
      </c>
      <c r="AI349" s="32">
        <f t="shared" si="344"/>
        <v>1.54715324505859</v>
      </c>
      <c r="AJ349" s="32" t="str">
        <f t="shared" si="325"/>
        <v>1+2,01152727967319i</v>
      </c>
      <c r="AK349" s="32">
        <f t="shared" si="345"/>
        <v>2.24638420508813</v>
      </c>
      <c r="AL349" s="32">
        <f t="shared" si="346"/>
        <v>1.10944358823619</v>
      </c>
      <c r="AM349" s="32" t="str">
        <f t="shared" si="326"/>
        <v>1-0,0956188719375955i</v>
      </c>
      <c r="AN349" s="32">
        <f t="shared" si="347"/>
        <v>1.00456108259808</v>
      </c>
      <c r="AO349" s="32">
        <f t="shared" si="348"/>
        <v>-0.0953290467514022</v>
      </c>
      <c r="AP349" s="30" t="str">
        <f t="shared" si="349"/>
        <v>10,8856388431346-6,42259432540011i</v>
      </c>
      <c r="AQ349" s="32">
        <f t="shared" si="350"/>
        <v>22.0343230561739</v>
      </c>
      <c r="AR349" s="31">
        <f t="shared" si="351"/>
        <v>-30.5408680319036</v>
      </c>
      <c r="AS349" t="str">
        <f t="shared" si="327"/>
        <v>-0,000272527472527473</v>
      </c>
      <c r="AT349" t="str">
        <f t="shared" si="328"/>
        <v>0,0288259043203168i</v>
      </c>
      <c r="AU349">
        <f t="shared" si="352"/>
        <v>0.0288259043203168</v>
      </c>
      <c r="AV349">
        <f t="shared" si="353"/>
        <v>1.5707963267949</v>
      </c>
      <c r="AW349" t="str">
        <f t="shared" si="329"/>
        <v>1+1,47583342925352i</v>
      </c>
      <c r="AX349">
        <f t="shared" si="354"/>
        <v>1.78271823654278</v>
      </c>
      <c r="AY349">
        <f t="shared" si="355"/>
        <v>0.975274123350563</v>
      </c>
      <c r="AZ349" t="str">
        <f t="shared" si="330"/>
        <v>1+70,5573982028222i</v>
      </c>
      <c r="BA349">
        <f t="shared" si="356"/>
        <v>70.5644842760975</v>
      </c>
      <c r="BB349">
        <f t="shared" si="357"/>
        <v>1.55662441744306</v>
      </c>
      <c r="BC349" s="30" t="str">
        <f t="shared" si="358"/>
        <v>-0,205505807632495+0,312746596589548i</v>
      </c>
      <c r="BD349" s="32">
        <f t="shared" si="359"/>
        <v>-8.53738375261267</v>
      </c>
      <c r="BE349" s="31">
        <f t="shared" si="360"/>
        <v>123.308918270189</v>
      </c>
      <c r="BF349" s="30" t="str">
        <f t="shared" si="361"/>
        <v>0,338847142782623-0,0304829102078408i</v>
      </c>
      <c r="BG349" s="68">
        <f t="shared" si="362"/>
        <v>-9.36491779874166</v>
      </c>
      <c r="BH349" s="31">
        <f t="shared" si="363"/>
        <v>-5.14052824301034</v>
      </c>
      <c r="BI349" s="30" t="str">
        <f t="shared" si="316"/>
        <v>-0,228417485509806+4,72432693383056i</v>
      </c>
      <c r="BJ349" s="68">
        <f t="shared" si="364"/>
        <v>13.4969393035612</v>
      </c>
      <c r="BK349" s="31">
        <f t="shared" si="317"/>
        <v>92.7680502382858</v>
      </c>
      <c r="BL349" s="32">
        <f t="shared" si="365"/>
        <v>-9.36491779874166</v>
      </c>
      <c r="BM349" s="31">
        <f t="shared" si="366"/>
        <v>-5.14052824301034</v>
      </c>
      <c r="BO349">
        <f t="shared" si="367"/>
        <v>0</v>
      </c>
      <c r="BP349">
        <f t="shared" si="368"/>
        <v>0</v>
      </c>
    </row>
    <row r="350" spans="14:68">
      <c r="N350" s="7">
        <v>32</v>
      </c>
      <c r="O350" s="18">
        <f t="shared" si="318"/>
        <v>20892.9613085404</v>
      </c>
      <c r="P350" s="86" t="str">
        <f t="shared" si="319"/>
        <v>96,0576923076923</v>
      </c>
      <c r="Q350" s="4" t="str">
        <f t="shared" si="320"/>
        <v>1+175,231057882122i</v>
      </c>
      <c r="R350" s="4">
        <f t="shared" si="331"/>
        <v>175.233911234349</v>
      </c>
      <c r="S350" s="4">
        <f t="shared" si="332"/>
        <v>1.56508963782874</v>
      </c>
      <c r="T350" s="4" t="str">
        <f t="shared" si="321"/>
        <v>1+2,05838176907116i</v>
      </c>
      <c r="U350" s="4">
        <f t="shared" si="333"/>
        <v>2.28843516561962</v>
      </c>
      <c r="V350" s="4">
        <f t="shared" si="334"/>
        <v>1.11855812441222</v>
      </c>
      <c r="W350" t="str">
        <f t="shared" si="322"/>
        <v>1-0,977264587073183i</v>
      </c>
      <c r="X350" s="4">
        <f t="shared" si="335"/>
        <v>1.39822962103773</v>
      </c>
      <c r="Y350" s="4">
        <f t="shared" si="336"/>
        <v>-0.773900253012552</v>
      </c>
      <c r="Z350" t="str">
        <f t="shared" si="323"/>
        <v>0,996436605451101+1,67521741981023i</v>
      </c>
      <c r="AA350" s="4">
        <f t="shared" si="337"/>
        <v>1.94916374692291</v>
      </c>
      <c r="AB350" s="4">
        <f t="shared" si="338"/>
        <v>1.03420150775101</v>
      </c>
      <c r="AC350" s="67" t="str">
        <f t="shared" si="339"/>
        <v>-0,56851651000542-0,697542978865446i</v>
      </c>
      <c r="AD350" s="68">
        <f t="shared" si="340"/>
        <v>-0.916344395159806</v>
      </c>
      <c r="AE350" s="31">
        <f t="shared" si="341"/>
        <v>-129.180970960281</v>
      </c>
      <c r="AF350" s="32" t="str">
        <f t="shared" si="342"/>
        <v>236,914774604583</v>
      </c>
      <c r="AG350" s="32" t="str">
        <f t="shared" si="324"/>
        <v>1+43,2727985543367i</v>
      </c>
      <c r="AH350" s="32">
        <f t="shared" si="343"/>
        <v>43.2843516149221</v>
      </c>
      <c r="AI350" s="32">
        <f t="shared" si="344"/>
        <v>1.54769123355794</v>
      </c>
      <c r="AJ350" s="32" t="str">
        <f t="shared" si="325"/>
        <v>1+2,05838176907116i</v>
      </c>
      <c r="AK350" s="32">
        <f t="shared" si="345"/>
        <v>2.28843516561962</v>
      </c>
      <c r="AL350" s="32">
        <f t="shared" si="346"/>
        <v>1.11855812441222</v>
      </c>
      <c r="AM350" s="32" t="str">
        <f t="shared" si="326"/>
        <v>1-0,0978461215835329i</v>
      </c>
      <c r="AN350" s="32">
        <f t="shared" si="347"/>
        <v>1.00477552891625</v>
      </c>
      <c r="AO350" s="32">
        <f t="shared" si="348"/>
        <v>-0.0975356479632398</v>
      </c>
      <c r="AP350" s="30" t="str">
        <f t="shared" si="349"/>
        <v>10,8799531076415-6,32615807881801i</v>
      </c>
      <c r="AQ350" s="32">
        <f t="shared" si="350"/>
        <v>21.997377822669</v>
      </c>
      <c r="AR350" s="31">
        <f t="shared" si="351"/>
        <v>-30.1758969837439</v>
      </c>
      <c r="AS350" t="str">
        <f t="shared" si="327"/>
        <v>-0,000272527472527473</v>
      </c>
      <c r="AT350" t="str">
        <f t="shared" si="328"/>
        <v>0,0294973458871357i</v>
      </c>
      <c r="AU350">
        <f t="shared" si="352"/>
        <v>0.0294973458871357</v>
      </c>
      <c r="AV350">
        <f t="shared" si="353"/>
        <v>1.5707963267949</v>
      </c>
      <c r="AW350" t="str">
        <f t="shared" si="329"/>
        <v>1+1,51021000592881i</v>
      </c>
      <c r="AX350">
        <f t="shared" si="354"/>
        <v>1.8112797304689</v>
      </c>
      <c r="AY350">
        <f t="shared" si="355"/>
        <v>0.985920518863396</v>
      </c>
      <c r="AZ350" t="str">
        <f t="shared" si="330"/>
        <v>1+72,2008911345111i</v>
      </c>
      <c r="BA350">
        <f t="shared" si="356"/>
        <v>72.207815924715</v>
      </c>
      <c r="BB350">
        <f t="shared" si="357"/>
        <v>1.55694696775576</v>
      </c>
      <c r="BC350" s="30" t="str">
        <f t="shared" si="358"/>
        <v>-0,199075795500876+0,309885308948089i</v>
      </c>
      <c r="BD350" s="32">
        <f t="shared" si="359"/>
        <v>-8.67547940587706</v>
      </c>
      <c r="BE350" s="31">
        <f t="shared" si="360"/>
        <v>122.717405511875</v>
      </c>
      <c r="BF350" s="30" t="str">
        <f t="shared" si="361"/>
        <v>0,329336197995-0,0373109909314295i</v>
      </c>
      <c r="BG350" s="68">
        <f t="shared" si="362"/>
        <v>-9.59182380103686</v>
      </c>
      <c r="BH350" s="31">
        <f t="shared" si="363"/>
        <v>-6.46356544840544</v>
      </c>
      <c r="BI350" s="30" t="str">
        <f t="shared" si="316"/>
        <v>-0,205551869206991+4,6309225821072i</v>
      </c>
      <c r="BJ350" s="68">
        <f t="shared" si="364"/>
        <v>13.321898416792</v>
      </c>
      <c r="BK350" s="31">
        <f t="shared" si="317"/>
        <v>92.5415085281315</v>
      </c>
      <c r="BL350" s="32">
        <f t="shared" si="365"/>
        <v>-9.59182380103686</v>
      </c>
      <c r="BM350" s="31">
        <f t="shared" si="366"/>
        <v>-6.46356544840544</v>
      </c>
      <c r="BO350">
        <f t="shared" si="367"/>
        <v>0</v>
      </c>
      <c r="BP350">
        <f t="shared" si="368"/>
        <v>0</v>
      </c>
    </row>
    <row r="351" spans="14:68">
      <c r="N351" s="7">
        <v>33</v>
      </c>
      <c r="O351" s="18">
        <f t="shared" si="318"/>
        <v>21379.6208950223</v>
      </c>
      <c r="P351" s="86" t="str">
        <f t="shared" si="319"/>
        <v>96,0576923076923</v>
      </c>
      <c r="Q351" s="4" t="str">
        <f t="shared" si="320"/>
        <v>1+179,312713560718i</v>
      </c>
      <c r="R351" s="4">
        <f t="shared" si="331"/>
        <v>179.31550196374</v>
      </c>
      <c r="S351" s="4">
        <f t="shared" si="332"/>
        <v>1.56521953520409</v>
      </c>
      <c r="T351" s="4" t="str">
        <f t="shared" si="321"/>
        <v>1+2,10632763972897i</v>
      </c>
      <c r="U351" s="4">
        <f t="shared" si="333"/>
        <v>2.33165523306646</v>
      </c>
      <c r="V351" s="4">
        <f t="shared" si="334"/>
        <v>1.12754386975793</v>
      </c>
      <c r="W351" t="str">
        <f t="shared" si="322"/>
        <v>1-1,00002800355613i</v>
      </c>
      <c r="X351" s="4">
        <f t="shared" si="335"/>
        <v>1.41423336401616</v>
      </c>
      <c r="Y351" s="4">
        <f t="shared" si="336"/>
        <v>-0.785412164979465</v>
      </c>
      <c r="Z351" t="str">
        <f t="shared" si="323"/>
        <v>0,996268667839879+1,71423824623845i</v>
      </c>
      <c r="AA351" s="4">
        <f t="shared" si="337"/>
        <v>1.98271632448672</v>
      </c>
      <c r="AB351" s="4">
        <f t="shared" si="338"/>
        <v>1.04433538685036</v>
      </c>
      <c r="AC351" s="67" t="str">
        <f t="shared" si="339"/>
        <v>-0,571645252544865-0,683345990141543i</v>
      </c>
      <c r="AD351" s="68">
        <f t="shared" si="340"/>
        <v>-1.00321712916659</v>
      </c>
      <c r="AE351" s="31">
        <f t="shared" si="341"/>
        <v>-129.913780719889</v>
      </c>
      <c r="AF351" s="32" t="str">
        <f t="shared" si="342"/>
        <v>236,914774604583</v>
      </c>
      <c r="AG351" s="32" t="str">
        <f t="shared" si="324"/>
        <v>1+44,2807515170294i</v>
      </c>
      <c r="AH351" s="32">
        <f t="shared" si="343"/>
        <v>44.2920416656638</v>
      </c>
      <c r="AI351" s="32">
        <f t="shared" si="344"/>
        <v>1.54821698887033</v>
      </c>
      <c r="AJ351" s="32" t="str">
        <f t="shared" si="325"/>
        <v>1+2,10632763972897i</v>
      </c>
      <c r="AK351" s="32">
        <f t="shared" si="345"/>
        <v>2.33165523306646</v>
      </c>
      <c r="AL351" s="32">
        <f t="shared" si="346"/>
        <v>1.12754386975793</v>
      </c>
      <c r="AM351" s="32" t="str">
        <f t="shared" si="326"/>
        <v>1-0,10012525053828i</v>
      </c>
      <c r="AN351" s="32">
        <f t="shared" si="347"/>
        <v>1.00500003273401</v>
      </c>
      <c r="AO351" s="32">
        <f t="shared" si="348"/>
        <v>-0.0997926613866272</v>
      </c>
      <c r="AP351" s="30" t="str">
        <f t="shared" si="349"/>
        <v>10,8745230053668-6,23306422057785i</v>
      </c>
      <c r="AQ351" s="32">
        <f t="shared" si="350"/>
        <v>21.9619371175033</v>
      </c>
      <c r="AR351" s="31">
        <f t="shared" si="351"/>
        <v>-29.8204926035769</v>
      </c>
      <c r="AS351" t="str">
        <f t="shared" si="327"/>
        <v>-0,000272527472527473</v>
      </c>
      <c r="AT351" t="str">
        <f t="shared" si="328"/>
        <v>0,0301844273371874i</v>
      </c>
      <c r="AU351">
        <f t="shared" si="352"/>
        <v>0.0301844273371874</v>
      </c>
      <c r="AV351">
        <f t="shared" si="353"/>
        <v>1.5707963267949</v>
      </c>
      <c r="AW351" t="str">
        <f t="shared" si="329"/>
        <v>1+1,54538731593922i</v>
      </c>
      <c r="AX351">
        <f t="shared" si="354"/>
        <v>1.84071235022364</v>
      </c>
      <c r="AY351">
        <f t="shared" si="355"/>
        <v>0.99647165510605</v>
      </c>
      <c r="AZ351" t="str">
        <f t="shared" si="330"/>
        <v>1+73,8826659343706i</v>
      </c>
      <c r="BA351">
        <f t="shared" si="356"/>
        <v>73.8894331117096</v>
      </c>
      <c r="BB351">
        <f t="shared" si="357"/>
        <v>1.55726217871176</v>
      </c>
      <c r="BC351" s="30" t="str">
        <f t="shared" si="358"/>
        <v>-0,192760330186845+0,306918113463037i</v>
      </c>
      <c r="BD351" s="32">
        <f t="shared" si="359"/>
        <v>-8.81552487749496</v>
      </c>
      <c r="BE351" s="31">
        <f t="shared" si="360"/>
        <v>122.130930193539</v>
      </c>
      <c r="BF351" s="30" t="str">
        <f t="shared" si="361"/>
        <v>0,319921789767064-0,043726283789631i</v>
      </c>
      <c r="BG351" s="68">
        <f t="shared" si="362"/>
        <v>-9.81874200666155</v>
      </c>
      <c r="BH351" s="31">
        <f t="shared" si="363"/>
        <v>-7.78285052635009</v>
      </c>
      <c r="BI351" s="30" t="str">
        <f t="shared" si="316"/>
        <v>-0,183136333465238+4,53907560285197i</v>
      </c>
      <c r="BJ351" s="68">
        <f t="shared" si="364"/>
        <v>13.1464122400083</v>
      </c>
      <c r="BK351" s="31">
        <f t="shared" si="317"/>
        <v>92.3104375899617</v>
      </c>
      <c r="BL351" s="32">
        <f t="shared" si="365"/>
        <v>-9.81874200666155</v>
      </c>
      <c r="BM351" s="31">
        <f t="shared" si="366"/>
        <v>-7.78285052635009</v>
      </c>
      <c r="BO351">
        <f t="shared" si="367"/>
        <v>0</v>
      </c>
      <c r="BP351">
        <f t="shared" si="368"/>
        <v>0</v>
      </c>
    </row>
    <row r="352" spans="14:68">
      <c r="N352" s="7">
        <v>34</v>
      </c>
      <c r="O352" s="18">
        <f t="shared" si="318"/>
        <v>21877.6162394955</v>
      </c>
      <c r="P352" s="86" t="str">
        <f t="shared" si="319"/>
        <v>96,0576923076923</v>
      </c>
      <c r="Q352" s="4" t="str">
        <f t="shared" si="320"/>
        <v>1+183,489443213529i</v>
      </c>
      <c r="R352" s="4">
        <f t="shared" si="331"/>
        <v>183.492168145703</v>
      </c>
      <c r="S352" s="4">
        <f t="shared" si="332"/>
        <v>1.56534647593604</v>
      </c>
      <c r="T352" s="4" t="str">
        <f t="shared" si="321"/>
        <v>1+2,15539031318192i</v>
      </c>
      <c r="U352" s="4">
        <f t="shared" si="333"/>
        <v>2.376069738488</v>
      </c>
      <c r="V352" s="4">
        <f t="shared" si="334"/>
        <v>1.13639978331145</v>
      </c>
      <c r="W352" t="str">
        <f t="shared" si="322"/>
        <v>1-1,0233216481235i</v>
      </c>
      <c r="X352" s="4">
        <f t="shared" si="335"/>
        <v>1.43079949521874</v>
      </c>
      <c r="Y352" s="4">
        <f t="shared" si="336"/>
        <v>-0.796924069524524</v>
      </c>
      <c r="Z352" t="str">
        <f t="shared" si="323"/>
        <v>0,996092815572876+1,75416798447546i</v>
      </c>
      <c r="AA352" s="4">
        <f t="shared" si="337"/>
        <v>2.01725214462511</v>
      </c>
      <c r="AB352" s="4">
        <f t="shared" si="338"/>
        <v>1.05435700959348</v>
      </c>
      <c r="AC352" s="67" t="str">
        <f t="shared" si="339"/>
        <v>-0,57470081100973-0,669392739489743i</v>
      </c>
      <c r="AD352" s="68">
        <f t="shared" si="340"/>
        <v>-1.08815215608249</v>
      </c>
      <c r="AE352" s="31">
        <f t="shared" si="341"/>
        <v>-130.647427649371</v>
      </c>
      <c r="AF352" s="32" t="str">
        <f t="shared" si="342"/>
        <v>236,914774604583</v>
      </c>
      <c r="AG352" s="32" t="str">
        <f t="shared" si="324"/>
        <v>1+45,3121827203016i</v>
      </c>
      <c r="AH352" s="32">
        <f t="shared" si="343"/>
        <v>45.3232159370669</v>
      </c>
      <c r="AI352" s="32">
        <f t="shared" si="344"/>
        <v>1.54873078859491</v>
      </c>
      <c r="AJ352" s="32" t="str">
        <f t="shared" si="325"/>
        <v>1+2,15539031318192i</v>
      </c>
      <c r="AK352" s="32">
        <f t="shared" si="345"/>
        <v>2.376069738488</v>
      </c>
      <c r="AL352" s="32">
        <f t="shared" si="346"/>
        <v>1.13639978331145</v>
      </c>
      <c r="AM352" s="32" t="str">
        <f t="shared" si="326"/>
        <v>1-0,102457467226176i</v>
      </c>
      <c r="AN352" s="32">
        <f t="shared" si="347"/>
        <v>1.00523506335106</v>
      </c>
      <c r="AO352" s="32">
        <f t="shared" si="348"/>
        <v>-0.102101191689669</v>
      </c>
      <c r="AP352" s="30" t="str">
        <f t="shared" si="349"/>
        <v>10,8693370543989-6,14326417951614i</v>
      </c>
      <c r="AQ352" s="32">
        <f t="shared" si="350"/>
        <v>21.9279647848647</v>
      </c>
      <c r="AR352" s="31">
        <f t="shared" si="351"/>
        <v>-29.4747937322028</v>
      </c>
      <c r="AS352" t="str">
        <f t="shared" si="327"/>
        <v>-0,000272527472527473</v>
      </c>
      <c r="AT352" t="str">
        <f t="shared" si="328"/>
        <v>0,0308875129701515i</v>
      </c>
      <c r="AU352">
        <f t="shared" si="352"/>
        <v>0.0308875129701515</v>
      </c>
      <c r="AV352">
        <f t="shared" si="353"/>
        <v>1.5707963267949</v>
      </c>
      <c r="AW352" t="str">
        <f t="shared" si="329"/>
        <v>1+1,58138401076017i</v>
      </c>
      <c r="AX352">
        <f t="shared" si="354"/>
        <v>1.87103591346824</v>
      </c>
      <c r="AY352">
        <f t="shared" si="355"/>
        <v>1.00692372929771</v>
      </c>
      <c r="AZ352" t="str">
        <f t="shared" si="330"/>
        <v>1+75,6036143016615i</v>
      </c>
      <c r="BA352">
        <f t="shared" si="356"/>
        <v>75.6102274528677</v>
      </c>
      <c r="BB352">
        <f t="shared" si="357"/>
        <v>1.55757021718936</v>
      </c>
      <c r="BC352" s="30" t="str">
        <f t="shared" si="358"/>
        <v>-0,186562892608673+0,303850800239828i</v>
      </c>
      <c r="BD352" s="32">
        <f t="shared" si="359"/>
        <v>-8.95748462731755</v>
      </c>
      <c r="BE352" s="31">
        <f t="shared" si="360"/>
        <v>121.549719759893</v>
      </c>
      <c r="BF352" s="30" t="str">
        <f t="shared" si="361"/>
        <v>0,310613365255215-0,0497394555533343i</v>
      </c>
      <c r="BG352" s="68">
        <f t="shared" si="362"/>
        <v>-10.0456367834</v>
      </c>
      <c r="BH352" s="31">
        <f t="shared" si="363"/>
        <v>-9.09770788947726</v>
      </c>
      <c r="BI352" s="30" t="str">
        <f t="shared" si="316"/>
        <v>-0,161179224576643+4,4487618974453i</v>
      </c>
      <c r="BJ352" s="68">
        <f t="shared" si="364"/>
        <v>12.9704801575472</v>
      </c>
      <c r="BK352" s="31">
        <f t="shared" si="317"/>
        <v>92.0749260276905</v>
      </c>
      <c r="BL352" s="32">
        <f t="shared" si="365"/>
        <v>-10.0456367834</v>
      </c>
      <c r="BM352" s="31">
        <f t="shared" si="366"/>
        <v>-9.09770788947726</v>
      </c>
      <c r="BO352">
        <f t="shared" si="367"/>
        <v>0</v>
      </c>
      <c r="BP352">
        <f t="shared" si="368"/>
        <v>0</v>
      </c>
    </row>
    <row r="353" spans="14:68">
      <c r="N353" s="7">
        <v>35</v>
      </c>
      <c r="O353" s="18">
        <f t="shared" si="318"/>
        <v>22387.2113856834</v>
      </c>
      <c r="P353" s="86" t="str">
        <f t="shared" si="319"/>
        <v>96,0576923076923</v>
      </c>
      <c r="Q353" s="4" t="str">
        <f t="shared" si="320"/>
        <v>1+187,763461397901i</v>
      </c>
      <c r="R353" s="4">
        <f t="shared" si="331"/>
        <v>187.766124303936</v>
      </c>
      <c r="S353" s="4">
        <f t="shared" si="332"/>
        <v>1.56547052731387</v>
      </c>
      <c r="T353" s="4" t="str">
        <f t="shared" si="321"/>
        <v>1+2,20559580310887i</v>
      </c>
      <c r="U353" s="4">
        <f t="shared" si="333"/>
        <v>2.42170453331769</v>
      </c>
      <c r="V353" s="4">
        <f t="shared" si="334"/>
        <v>1.14512500322676</v>
      </c>
      <c r="W353" t="str">
        <f t="shared" si="322"/>
        <v>1-1,04715787137397i</v>
      </c>
      <c r="X353" s="4">
        <f t="shared" si="335"/>
        <v>1.44794323354904</v>
      </c>
      <c r="Y353" s="4">
        <f t="shared" si="336"/>
        <v>-0.808429866664547</v>
      </c>
      <c r="Z353" t="str">
        <f t="shared" si="323"/>
        <v>0,995908675643859+1,79502780579698i</v>
      </c>
      <c r="AA353" s="4">
        <f t="shared" si="337"/>
        <v>2.05279295444208</v>
      </c>
      <c r="AB353" s="4">
        <f t="shared" si="338"/>
        <v>1.06426375870278</v>
      </c>
      <c r="AC353" s="67" t="str">
        <f t="shared" si="339"/>
        <v>-0,577682695544696-0,655679855010353i</v>
      </c>
      <c r="AD353" s="68">
        <f t="shared" si="340"/>
        <v>-1.17115102207207</v>
      </c>
      <c r="AE353" s="31">
        <f t="shared" si="341"/>
        <v>-131.381465522008</v>
      </c>
      <c r="AF353" s="32" t="str">
        <f t="shared" si="342"/>
        <v>236,914774604583</v>
      </c>
      <c r="AG353" s="32" t="str">
        <f t="shared" si="324"/>
        <v>1+46,3676390426295i</v>
      </c>
      <c r="AH353" s="32">
        <f t="shared" si="343"/>
        <v>46.3784211717861</v>
      </c>
      <c r="AI353" s="32">
        <f t="shared" si="344"/>
        <v>1.54923290406935</v>
      </c>
      <c r="AJ353" s="32" t="str">
        <f t="shared" si="325"/>
        <v>1+2,20559580310887i</v>
      </c>
      <c r="AK353" s="32">
        <f t="shared" si="345"/>
        <v>2.42170453331769</v>
      </c>
      <c r="AL353" s="32">
        <f t="shared" si="346"/>
        <v>1.14512500322676</v>
      </c>
      <c r="AM353" s="32" t="str">
        <f t="shared" si="326"/>
        <v>1-0,104844008219381i</v>
      </c>
      <c r="AN353" s="32">
        <f t="shared" si="347"/>
        <v>1.00548111173682</v>
      </c>
      <c r="AO353" s="32">
        <f t="shared" si="348"/>
        <v>-0.104462364408741</v>
      </c>
      <c r="AP353" s="30" t="str">
        <f t="shared" si="349"/>
        <v>10,8643842875336-6,0567110783571i</v>
      </c>
      <c r="AQ353" s="32">
        <f t="shared" si="350"/>
        <v>21.8954251302257</v>
      </c>
      <c r="AR353" s="31">
        <f t="shared" si="351"/>
        <v>-29.1389297847499</v>
      </c>
      <c r="AS353" t="str">
        <f t="shared" si="327"/>
        <v>-0,000272527472527473</v>
      </c>
      <c r="AT353" t="str">
        <f t="shared" si="328"/>
        <v>0,031606975571337i</v>
      </c>
      <c r="AU353">
        <f t="shared" si="352"/>
        <v>0.031606975571337</v>
      </c>
      <c r="AV353">
        <f t="shared" si="353"/>
        <v>1.5707963267949</v>
      </c>
      <c r="AW353" t="str">
        <f t="shared" si="329"/>
        <v>1+1,6182191763157i</v>
      </c>
      <c r="AX353">
        <f t="shared" si="354"/>
        <v>1.90227056503429</v>
      </c>
      <c r="AY353">
        <f t="shared" si="355"/>
        <v>1.01727314824346</v>
      </c>
      <c r="AZ353" t="str">
        <f t="shared" si="330"/>
        <v>1+77,3646487059869i</v>
      </c>
      <c r="BA353">
        <f t="shared" si="356"/>
        <v>77.3711113362136</v>
      </c>
      <c r="BB353">
        <f t="shared" si="357"/>
        <v>1.5578712462807</v>
      </c>
      <c r="BC353" s="30" t="str">
        <f t="shared" si="358"/>
        <v>-0,180486589389314+0,3006892437668i</v>
      </c>
      <c r="BD353" s="32">
        <f t="shared" si="359"/>
        <v>-9.10132210302105</v>
      </c>
      <c r="BE353" s="31">
        <f t="shared" si="360"/>
        <v>120.973989430333</v>
      </c>
      <c r="BF353" s="30" t="str">
        <f t="shared" si="361"/>
        <v>0,301419859224276-0,0553615520984027i</v>
      </c>
      <c r="BG353" s="68">
        <f t="shared" si="362"/>
        <v>-10.2724731250931</v>
      </c>
      <c r="BH353" s="31">
        <f t="shared" si="363"/>
        <v>-10.4074760916747</v>
      </c>
      <c r="BI353" s="30" t="str">
        <f t="shared" si="316"/>
        <v>-0,139687792006595+4,35995862085953i</v>
      </c>
      <c r="BJ353" s="68">
        <f t="shared" si="364"/>
        <v>12.7941030272047</v>
      </c>
      <c r="BK353" s="31">
        <f t="shared" si="317"/>
        <v>91.8350596455831</v>
      </c>
      <c r="BL353" s="32">
        <f t="shared" si="365"/>
        <v>-10.2724731250931</v>
      </c>
      <c r="BM353" s="31">
        <f t="shared" si="366"/>
        <v>-10.4074760916747</v>
      </c>
      <c r="BO353">
        <f t="shared" si="367"/>
        <v>0</v>
      </c>
      <c r="BP353">
        <f t="shared" si="368"/>
        <v>0</v>
      </c>
    </row>
    <row r="354" spans="14:68">
      <c r="N354" s="7">
        <v>36</v>
      </c>
      <c r="O354" s="18">
        <f t="shared" si="318"/>
        <v>22908.6765276778</v>
      </c>
      <c r="P354" s="86" t="str">
        <f t="shared" si="319"/>
        <v>96,0576923076923</v>
      </c>
      <c r="Q354" s="4" t="str">
        <f t="shared" si="320"/>
        <v>1+192,137034254851i</v>
      </c>
      <c r="R354" s="4">
        <f t="shared" si="331"/>
        <v>192.139636546575</v>
      </c>
      <c r="S354" s="4">
        <f t="shared" si="332"/>
        <v>1.56559175509599</v>
      </c>
      <c r="T354" s="4" t="str">
        <f t="shared" si="321"/>
        <v>1+2,25697072912516i</v>
      </c>
      <c r="U354" s="4">
        <f t="shared" si="333"/>
        <v>2.46858600662966</v>
      </c>
      <c r="V354" s="4">
        <f t="shared" si="334"/>
        <v>1.15371884073141</v>
      </c>
      <c r="W354" t="str">
        <f t="shared" si="322"/>
        <v>1-1,07154931158862i</v>
      </c>
      <c r="X354" s="4">
        <f t="shared" si="335"/>
        <v>1.4656800220942</v>
      </c>
      <c r="Y354" s="4">
        <f t="shared" si="336"/>
        <v>-0.819923472582614</v>
      </c>
      <c r="Z354" t="str">
        <f t="shared" si="323"/>
        <v>0,995715857467349+1,83683937462116i</v>
      </c>
      <c r="AA354" s="4">
        <f t="shared" si="337"/>
        <v>2.08936089677456</v>
      </c>
      <c r="AB354" s="4">
        <f t="shared" si="338"/>
        <v>1.07405322962911</v>
      </c>
      <c r="AC354" s="67" t="str">
        <f t="shared" si="339"/>
        <v>-0,580590578830524-0,642204085805761i</v>
      </c>
      <c r="AD354" s="68">
        <f t="shared" si="340"/>
        <v>-1.25221694576508</v>
      </c>
      <c r="AE354" s="31">
        <f t="shared" si="341"/>
        <v>-132.115451221681</v>
      </c>
      <c r="AF354" s="32" t="str">
        <f t="shared" si="342"/>
        <v>236,914774604583</v>
      </c>
      <c r="AG354" s="32" t="str">
        <f t="shared" si="324"/>
        <v>1+47,4476801009266i</v>
      </c>
      <c r="AH354" s="32">
        <f t="shared" si="343"/>
        <v>47.458216853985</v>
      </c>
      <c r="AI354" s="32">
        <f t="shared" si="344"/>
        <v>1.5497236005086</v>
      </c>
      <c r="AJ354" s="32" t="str">
        <f t="shared" si="325"/>
        <v>1+2,25697072912516i</v>
      </c>
      <c r="AK354" s="32">
        <f t="shared" si="345"/>
        <v>2.46858600662966</v>
      </c>
      <c r="AL354" s="32">
        <f t="shared" si="346"/>
        <v>1.15371884073141</v>
      </c>
      <c r="AM354" s="32" t="str">
        <f t="shared" si="326"/>
        <v>1-0,107286138893519i</v>
      </c>
      <c r="AN354" s="32">
        <f t="shared" si="347"/>
        <v>1.00573869150922</v>
      </c>
      <c r="AO354" s="32">
        <f t="shared" si="348"/>
        <v>-0.106877326100427</v>
      </c>
      <c r="AP354" s="30" t="str">
        <f t="shared" si="349"/>
        <v>10,8596542292901-5,97335971235452i</v>
      </c>
      <c r="AQ354" s="32">
        <f t="shared" si="350"/>
        <v>21.8642829944799</v>
      </c>
      <c r="AR354" s="31">
        <f t="shared" si="351"/>
        <v>-28.8130211135224</v>
      </c>
      <c r="AS354" t="str">
        <f t="shared" si="327"/>
        <v>-0,000272527472527473</v>
      </c>
      <c r="AT354" t="str">
        <f t="shared" si="328"/>
        <v>0,0323431966093382i</v>
      </c>
      <c r="AU354">
        <f t="shared" si="352"/>
        <v>0.0323431966093382</v>
      </c>
      <c r="AV354">
        <f t="shared" si="353"/>
        <v>1.5707963267949</v>
      </c>
      <c r="AW354" t="str">
        <f t="shared" si="329"/>
        <v>1+1,6559123430982i</v>
      </c>
      <c r="AX354">
        <f t="shared" si="354"/>
        <v>1.93443678832496</v>
      </c>
      <c r="AY354">
        <f t="shared" si="355"/>
        <v>1.0275165307491</v>
      </c>
      <c r="AZ354" t="str">
        <f t="shared" si="330"/>
        <v>1+79,1667028710992i</v>
      </c>
      <c r="BA354">
        <f t="shared" si="356"/>
        <v>79.1730184057732</v>
      </c>
      <c r="BB354">
        <f t="shared" si="357"/>
        <v>1.55816542537701</v>
      </c>
      <c r="BC354" s="30" t="str">
        <f t="shared" si="358"/>
        <v>-0,174534155241923+0,297439376290396i</v>
      </c>
      <c r="BD354" s="32">
        <f t="shared" si="359"/>
        <v>-9.24699985457418</v>
      </c>
      <c r="BE354" s="31">
        <f t="shared" si="360"/>
        <v>120.403942065461</v>
      </c>
      <c r="BF354" s="30" t="str">
        <f t="shared" si="361"/>
        <v>0,292349668950814-0,0606039520384111i</v>
      </c>
      <c r="BG354" s="68">
        <f t="shared" si="362"/>
        <v>-10.4992168003393</v>
      </c>
      <c r="BH354" s="31">
        <f t="shared" si="363"/>
        <v>-11.7115091562194</v>
      </c>
      <c r="BI354" s="30" t="str">
        <f t="shared" si="316"/>
        <v>-0,118668189927617+4,27264407204134i</v>
      </c>
      <c r="BJ354" s="68">
        <f t="shared" si="364"/>
        <v>12.6172831399057</v>
      </c>
      <c r="BK354" s="31">
        <f t="shared" si="317"/>
        <v>91.5909209519391</v>
      </c>
      <c r="BL354" s="32">
        <f t="shared" si="365"/>
        <v>-10.4992168003393</v>
      </c>
      <c r="BM354" s="31">
        <f t="shared" si="366"/>
        <v>-11.7115091562194</v>
      </c>
      <c r="BO354">
        <f t="shared" si="367"/>
        <v>0</v>
      </c>
      <c r="BP354">
        <f t="shared" si="368"/>
        <v>0</v>
      </c>
    </row>
    <row r="355" spans="14:68">
      <c r="N355" s="7">
        <v>37</v>
      </c>
      <c r="O355" s="18">
        <f t="shared" si="318"/>
        <v>23442.2881531992</v>
      </c>
      <c r="P355" s="86" t="str">
        <f t="shared" si="319"/>
        <v>96,0576923076923</v>
      </c>
      <c r="Q355" s="4" t="str">
        <f t="shared" si="320"/>
        <v>1+196,612480710595i</v>
      </c>
      <c r="R355" s="4">
        <f t="shared" si="331"/>
        <v>196.615023767702</v>
      </c>
      <c r="S355" s="4">
        <f t="shared" si="332"/>
        <v>1.56571022354471</v>
      </c>
      <c r="T355" s="4" t="str">
        <f t="shared" si="321"/>
        <v>1+2,30954233089655i</v>
      </c>
      <c r="U355" s="4">
        <f t="shared" si="333"/>
        <v>2.51674110273645</v>
      </c>
      <c r="V355" s="4">
        <f t="shared" si="334"/>
        <v>1.16218077383353</v>
      </c>
      <c r="W355" t="str">
        <f t="shared" si="322"/>
        <v>1-1,09650890143189i</v>
      </c>
      <c r="X355" s="4">
        <f t="shared" si="335"/>
        <v>1.48402552906592</v>
      </c>
      <c r="Y355" s="4">
        <f t="shared" si="336"/>
        <v>-0.83139883567037</v>
      </c>
      <c r="Z355" t="str">
        <f t="shared" si="323"/>
        <v>0,995513952050142+1,87962485999519i</v>
      </c>
      <c r="AA355" s="4">
        <f t="shared" si="337"/>
        <v>2.1269785243482</v>
      </c>
      <c r="AB355" s="4">
        <f t="shared" si="338"/>
        <v>1.08372322844555</v>
      </c>
      <c r="AC355" s="67" t="str">
        <f t="shared" si="339"/>
        <v>-0,583424290664803-0,628962288243798i</v>
      </c>
      <c r="AD355" s="68">
        <f t="shared" si="340"/>
        <v>-1.33135484381745</v>
      </c>
      <c r="AE355" s="31">
        <f t="shared" si="341"/>
        <v>-132.848945903912</v>
      </c>
      <c r="AF355" s="32" t="str">
        <f t="shared" si="342"/>
        <v>236,914774604583</v>
      </c>
      <c r="AG355" s="32" t="str">
        <f t="shared" si="324"/>
        <v>1+48,5528785472568i</v>
      </c>
      <c r="AH355" s="32">
        <f t="shared" si="343"/>
        <v>48.5631755059806</v>
      </c>
      <c r="AI355" s="32">
        <f t="shared" si="344"/>
        <v>1.55020313714065</v>
      </c>
      <c r="AJ355" s="32" t="str">
        <f t="shared" si="325"/>
        <v>1+2,30954233089655i</v>
      </c>
      <c r="AK355" s="32">
        <f t="shared" si="345"/>
        <v>2.51674110273645</v>
      </c>
      <c r="AL355" s="32">
        <f t="shared" si="346"/>
        <v>1.16218077383353</v>
      </c>
      <c r="AM355" s="32" t="str">
        <f t="shared" si="326"/>
        <v>1-0,109785154098597i</v>
      </c>
      <c r="AN355" s="32">
        <f t="shared" si="347"/>
        <v>1.00600833995571</v>
      </c>
      <c r="AO355" s="32">
        <f t="shared" si="348"/>
        <v>-0.109347244474711</v>
      </c>
      <c r="AP355" s="30" t="str">
        <f t="shared" si="349"/>
        <v>10,8551368739448-5,89316652858893i</v>
      </c>
      <c r="AQ355" s="32">
        <f t="shared" si="350"/>
        <v>21.8345038233975</v>
      </c>
      <c r="AR355" s="31">
        <f t="shared" si="351"/>
        <v>-28.4971793839757</v>
      </c>
      <c r="AS355" t="str">
        <f t="shared" si="327"/>
        <v>-0,000272527472527473</v>
      </c>
      <c r="AT355" t="str">
        <f t="shared" si="328"/>
        <v>0,0330965664382943i</v>
      </c>
      <c r="AU355">
        <f t="shared" si="352"/>
        <v>0.0330965664382943</v>
      </c>
      <c r="AV355">
        <f t="shared" si="353"/>
        <v>1.5707963267949</v>
      </c>
      <c r="AW355" t="str">
        <f t="shared" si="329"/>
        <v>1+1,69448349652359i</v>
      </c>
      <c r="AX355">
        <f t="shared" si="354"/>
        <v>1.96755541726042</v>
      </c>
      <c r="AY355">
        <f t="shared" si="355"/>
        <v>1.03765070911454</v>
      </c>
      <c r="AZ355" t="str">
        <f t="shared" si="330"/>
        <v>1+81,010732269968i</v>
      </c>
      <c r="BA355">
        <f t="shared" si="356"/>
        <v>81.0169040566007</v>
      </c>
      <c r="BB355">
        <f t="shared" si="357"/>
        <v>1.55845291025216</v>
      </c>
      <c r="BC355" s="30" t="str">
        <f t="shared" si="358"/>
        <v>-0,168707957393644+0,294107162090049i</v>
      </c>
      <c r="BD355" s="32">
        <f t="shared" si="359"/>
        <v>-9.39447964765261</v>
      </c>
      <c r="BE355" s="31">
        <f t="shared" si="360"/>
        <v>119.839768086309</v>
      </c>
      <c r="BF355" s="30" t="str">
        <f t="shared" si="361"/>
        <v>0,283410634028941-0,0654783194945816i</v>
      </c>
      <c r="BG355" s="68">
        <f t="shared" si="362"/>
        <v>-10.7258344914701</v>
      </c>
      <c r="BH355" s="31">
        <f t="shared" si="363"/>
        <v>-13.0091778176031</v>
      </c>
      <c r="BI355" s="30" t="str">
        <f t="shared" si="316"/>
        <v>-0,0981254857842977+4,18679758771378i</v>
      </c>
      <c r="BJ355" s="68">
        <f t="shared" si="364"/>
        <v>12.4400241757449</v>
      </c>
      <c r="BK355" s="31">
        <f t="shared" si="317"/>
        <v>91.342588702333</v>
      </c>
      <c r="BL355" s="32">
        <f t="shared" si="365"/>
        <v>-10.7258344914701</v>
      </c>
      <c r="BM355" s="31">
        <f t="shared" si="366"/>
        <v>-13.0091778176031</v>
      </c>
      <c r="BO355">
        <f t="shared" si="367"/>
        <v>0</v>
      </c>
      <c r="BP355">
        <f t="shared" si="368"/>
        <v>0</v>
      </c>
    </row>
    <row r="356" spans="14:68">
      <c r="N356" s="7">
        <v>38</v>
      </c>
      <c r="O356" s="18">
        <f t="shared" si="318"/>
        <v>23988.3291901949</v>
      </c>
      <c r="P356" s="86" t="str">
        <f t="shared" si="319"/>
        <v>96,0576923076923</v>
      </c>
      <c r="Q356" s="4" t="str">
        <f t="shared" si="320"/>
        <v>1+201,192173706088i</v>
      </c>
      <c r="R356" s="4">
        <f t="shared" si="331"/>
        <v>201.194658876872</v>
      </c>
      <c r="S356" s="4">
        <f t="shared" si="332"/>
        <v>1.56582599546026</v>
      </c>
      <c r="T356" s="4" t="str">
        <f t="shared" si="321"/>
        <v>1+2,3633384825822i</v>
      </c>
      <c r="U356" s="4">
        <f t="shared" si="333"/>
        <v>2.56619733910974</v>
      </c>
      <c r="V356" s="4">
        <f t="shared" si="334"/>
        <v>1.17051044082647</v>
      </c>
      <c r="W356" t="str">
        <f t="shared" si="322"/>
        <v>1-1,12204987480873i</v>
      </c>
      <c r="X356" s="4">
        <f t="shared" si="335"/>
        <v>1.50299564921469</v>
      </c>
      <c r="Y356" s="4">
        <f t="shared" si="336"/>
        <v>-0.842849952363232</v>
      </c>
      <c r="Z356" t="str">
        <f t="shared" si="323"/>
        <v>0,995302531123778+1,92340694734978i</v>
      </c>
      <c r="AA356" s="4">
        <f t="shared" si="337"/>
        <v>2.16566881437924</v>
      </c>
      <c r="AB356" s="4">
        <f t="shared" si="338"/>
        <v>1.09327176906076</v>
      </c>
      <c r="AC356" s="67" t="str">
        <f t="shared" si="339"/>
        <v>-0,586183811923264-0,615951413071593i</v>
      </c>
      <c r="AD356" s="68">
        <f t="shared" si="340"/>
        <v>-1.40857134752987</v>
      </c>
      <c r="AE356" s="31">
        <f t="shared" si="341"/>
        <v>-133.581516117588</v>
      </c>
      <c r="AF356" s="32" t="str">
        <f t="shared" si="342"/>
        <v>236,914774604583</v>
      </c>
      <c r="AG356" s="32" t="str">
        <f t="shared" si="324"/>
        <v>1+49,6838203724667i</v>
      </c>
      <c r="AH356" s="32">
        <f t="shared" si="343"/>
        <v>49.6938829918083</v>
      </c>
      <c r="AI356" s="32">
        <f t="shared" si="344"/>
        <v>1.5506717673395</v>
      </c>
      <c r="AJ356" s="32" t="str">
        <f t="shared" si="325"/>
        <v>1+2,3633384825822i</v>
      </c>
      <c r="AK356" s="32">
        <f t="shared" si="345"/>
        <v>2.56619733910974</v>
      </c>
      <c r="AL356" s="32">
        <f t="shared" si="346"/>
        <v>1.17051044082647</v>
      </c>
      <c r="AM356" s="32" t="str">
        <f t="shared" si="326"/>
        <v>1-0,112342378845557i</v>
      </c>
      <c r="AN356" s="32">
        <f t="shared" si="347"/>
        <v>1.00629061909802</v>
      </c>
      <c r="AO356" s="32">
        <f t="shared" si="348"/>
        <v>-0.111873308507608</v>
      </c>
      <c r="AP356" s="30" t="str">
        <f t="shared" si="349"/>
        <v>10,8508226645398-5,81608960592277i</v>
      </c>
      <c r="AQ356" s="32">
        <f t="shared" si="350"/>
        <v>21.8060537324402</v>
      </c>
      <c r="AR356" s="31">
        <f t="shared" si="351"/>
        <v>-28.1915079609424</v>
      </c>
      <c r="AS356" t="str">
        <f t="shared" si="327"/>
        <v>-0,000272527472527473</v>
      </c>
      <c r="AT356" t="str">
        <f t="shared" si="328"/>
        <v>0,033867484504861i</v>
      </c>
      <c r="AU356">
        <f t="shared" si="352"/>
        <v>0.033867484504861</v>
      </c>
      <c r="AV356">
        <f t="shared" si="353"/>
        <v>1.5707963267949</v>
      </c>
      <c r="AW356" t="str">
        <f t="shared" si="329"/>
        <v>1+1,73395308752798i</v>
      </c>
      <c r="AX356">
        <f t="shared" si="354"/>
        <v>2.00164764875035</v>
      </c>
      <c r="AY356">
        <f t="shared" si="355"/>
        <v>1.0476727297406</v>
      </c>
      <c r="AZ356" t="str">
        <f t="shared" si="330"/>
        <v>1+82,8977146313909i</v>
      </c>
      <c r="BA356">
        <f t="shared" si="356"/>
        <v>82.9037459413477</v>
      </c>
      <c r="BB356">
        <f t="shared" si="357"/>
        <v>1.55873385314426</v>
      </c>
      <c r="BC356" s="30" t="str">
        <f t="shared" si="358"/>
        <v>-0,1630100019004+0,290698572810196i</v>
      </c>
      <c r="BD356" s="32">
        <f t="shared" si="359"/>
        <v>-9.54372257539828</v>
      </c>
      <c r="BE356" s="31">
        <f t="shared" si="360"/>
        <v>119.281645444244</v>
      </c>
      <c r="BF356" s="30" t="str">
        <f t="shared" si="361"/>
        <v>0,274610020995931-0,0699965565151788i</v>
      </c>
      <c r="BG356" s="68">
        <f t="shared" si="362"/>
        <v>-10.9522939229281</v>
      </c>
      <c r="BH356" s="31">
        <f t="shared" si="363"/>
        <v>-14.2998706733438</v>
      </c>
      <c r="BI356" s="30" t="str">
        <f t="shared" si="316"/>
        <v>-0,0780636753895718+4,10239944011262i</v>
      </c>
      <c r="BJ356" s="68">
        <f t="shared" si="364"/>
        <v>12.262331157042</v>
      </c>
      <c r="BK356" s="31">
        <f t="shared" si="317"/>
        <v>91.0901374833017</v>
      </c>
      <c r="BL356" s="32">
        <f t="shared" si="365"/>
        <v>-10.9522939229281</v>
      </c>
      <c r="BM356" s="31">
        <f t="shared" si="366"/>
        <v>-14.2998706733438</v>
      </c>
      <c r="BO356">
        <f t="shared" si="367"/>
        <v>0</v>
      </c>
      <c r="BP356">
        <f t="shared" si="368"/>
        <v>0</v>
      </c>
    </row>
    <row r="357" spans="14:68">
      <c r="N357" s="7">
        <v>39</v>
      </c>
      <c r="O357" s="18">
        <f t="shared" si="318"/>
        <v>24547.0891568503</v>
      </c>
      <c r="P357" s="86" t="str">
        <f t="shared" si="319"/>
        <v>96,0576923076923</v>
      </c>
      <c r="Q357" s="4" t="str">
        <f t="shared" si="320"/>
        <v>1+205,878541455171i</v>
      </c>
      <c r="R357" s="4">
        <f t="shared" si="331"/>
        <v>205.880970057236</v>
      </c>
      <c r="S357" s="4">
        <f t="shared" si="332"/>
        <v>1.56593913221402</v>
      </c>
      <c r="T357" s="4" t="str">
        <f t="shared" si="321"/>
        <v>1+2,41838770761379i</v>
      </c>
      <c r="U357" s="4">
        <f t="shared" si="333"/>
        <v>2.61698282461645</v>
      </c>
      <c r="V357" s="4">
        <f t="shared" si="334"/>
        <v>1.17870763363677</v>
      </c>
      <c r="W357" t="str">
        <f t="shared" si="322"/>
        <v>1-1,14818577388127i</v>
      </c>
      <c r="X357" s="4">
        <f t="shared" si="335"/>
        <v>1.52260650574708</v>
      </c>
      <c r="Y357" s="4">
        <f t="shared" si="336"/>
        <v>-0.854270882667911</v>
      </c>
      <c r="Z357" t="str">
        <f t="shared" si="323"/>
        <v>0,995081146236128+1,96820885052714i</v>
      </c>
      <c r="AA357" s="4">
        <f t="shared" si="337"/>
        <v>2.2054551836045</v>
      </c>
      <c r="AB357" s="4">
        <f t="shared" si="338"/>
        <v>1.10269706980504</v>
      </c>
      <c r="AC357" s="67" t="str">
        <f t="shared" si="339"/>
        <v>-0,588869267992106-0,603168493400957i</v>
      </c>
      <c r="AD357" s="68">
        <f t="shared" si="340"/>
        <v>-1.48387481036106</v>
      </c>
      <c r="AE357" s="31">
        <f t="shared" si="341"/>
        <v>-134.312734882061</v>
      </c>
      <c r="AF357" s="32" t="str">
        <f t="shared" si="342"/>
        <v>236,914774604583</v>
      </c>
      <c r="AG357" s="32" t="str">
        <f t="shared" si="324"/>
        <v>1+50,8411052168808i</v>
      </c>
      <c r="AH357" s="32">
        <f t="shared" si="343"/>
        <v>50.850938827852</v>
      </c>
      <c r="AI357" s="32">
        <f t="shared" si="344"/>
        <v>1.55112973875525</v>
      </c>
      <c r="AJ357" s="32" t="str">
        <f t="shared" si="325"/>
        <v>1+2,41838770761379i</v>
      </c>
      <c r="AK357" s="32">
        <f t="shared" si="345"/>
        <v>2.61698282461645</v>
      </c>
      <c r="AL357" s="32">
        <f t="shared" si="346"/>
        <v>1.17870763363677</v>
      </c>
      <c r="AM357" s="32" t="str">
        <f t="shared" si="326"/>
        <v>1-0,114959169008808i</v>
      </c>
      <c r="AN357" s="32">
        <f t="shared" si="347"/>
        <v>1.00658611680233</v>
      </c>
      <c r="AO357" s="32">
        <f t="shared" si="348"/>
        <v>-0.114456728531231</v>
      </c>
      <c r="AP357" s="30" t="str">
        <f t="shared" si="349"/>
        <v>10,8467024728227-5,74208863561881i</v>
      </c>
      <c r="AQ357" s="32">
        <f t="shared" si="350"/>
        <v>21.7788995670102</v>
      </c>
      <c r="AR357" s="31">
        <f t="shared" si="351"/>
        <v>-27.8961023023808</v>
      </c>
      <c r="AS357" t="str">
        <f t="shared" si="327"/>
        <v>-0,000272527472527473</v>
      </c>
      <c r="AT357" t="str">
        <f t="shared" si="328"/>
        <v>0,0346563595600013i</v>
      </c>
      <c r="AU357">
        <f t="shared" si="352"/>
        <v>0.0346563595600013</v>
      </c>
      <c r="AV357">
        <f t="shared" si="353"/>
        <v>1.5707963267949</v>
      </c>
      <c r="AW357" t="str">
        <f t="shared" si="329"/>
        <v>1+1,77434204341096i</v>
      </c>
      <c r="AX357">
        <f t="shared" si="354"/>
        <v>2.03673505567508</v>
      </c>
      <c r="AY357">
        <f t="shared" si="355"/>
        <v>1.05757985288853</v>
      </c>
      <c r="AZ357" t="str">
        <f t="shared" si="330"/>
        <v>1+84,8286504583919i</v>
      </c>
      <c r="BA357">
        <f t="shared" si="356"/>
        <v>84.8345444886223</v>
      </c>
      <c r="BB357">
        <f t="shared" si="357"/>
        <v>1.55900840283544</v>
      </c>
      <c r="BC357" s="30" t="str">
        <f t="shared" si="358"/>
        <v>-0,157441941694762+0,287219563985624i</v>
      </c>
      <c r="BD357" s="32">
        <f t="shared" si="359"/>
        <v>-9.69468916796869</v>
      </c>
      <c r="BE357" s="31">
        <f t="shared" si="360"/>
        <v>118.729739639322</v>
      </c>
      <c r="BF357" s="30" t="str">
        <f t="shared" si="361"/>
        <v>0,265954512641539-0,0741707556270754i</v>
      </c>
      <c r="BG357" s="68">
        <f t="shared" si="362"/>
        <v>-11.1785639783297</v>
      </c>
      <c r="BH357" s="31">
        <f t="shared" si="363"/>
        <v>-15.5829952427383</v>
      </c>
      <c r="BI357" s="30" t="str">
        <f t="shared" si="316"/>
        <v>-0,0584857040173412+4,01943073910118i</v>
      </c>
      <c r="BJ357" s="68">
        <f t="shared" si="364"/>
        <v>12.0842103990416</v>
      </c>
      <c r="BK357" s="31">
        <f t="shared" si="317"/>
        <v>90.8336373369416</v>
      </c>
      <c r="BL357" s="32">
        <f t="shared" si="365"/>
        <v>-11.1785639783297</v>
      </c>
      <c r="BM357" s="31">
        <f t="shared" si="366"/>
        <v>-15.5829952427383</v>
      </c>
      <c r="BO357">
        <f t="shared" si="367"/>
        <v>0</v>
      </c>
      <c r="BP357">
        <f t="shared" si="368"/>
        <v>0</v>
      </c>
    </row>
    <row r="358" spans="14:68">
      <c r="N358" s="7">
        <v>40</v>
      </c>
      <c r="O358" s="18">
        <f t="shared" si="318"/>
        <v>25118.8643150959</v>
      </c>
      <c r="P358" s="86" t="str">
        <f t="shared" si="319"/>
        <v>96,0576923076923</v>
      </c>
      <c r="Q358" s="4" t="str">
        <f t="shared" si="320"/>
        <v>1+210,67406873206i</v>
      </c>
      <c r="R358" s="4">
        <f t="shared" si="331"/>
        <v>210.676442053023</v>
      </c>
      <c r="S358" s="4">
        <f t="shared" si="332"/>
        <v>1.56604969378101</v>
      </c>
      <c r="T358" s="4" t="str">
        <f t="shared" si="321"/>
        <v>1+2,47471919381912i</v>
      </c>
      <c r="U358" s="4">
        <f t="shared" si="333"/>
        <v>2.66912627806493</v>
      </c>
      <c r="V358" s="4">
        <f t="shared" si="334"/>
        <v>1.18677229105891</v>
      </c>
      <c r="W358" t="str">
        <f t="shared" si="322"/>
        <v>1-1,17493045624916i</v>
      </c>
      <c r="X358" s="4">
        <f t="shared" si="335"/>
        <v>1.54287445277374</v>
      </c>
      <c r="Y358" s="4">
        <f t="shared" si="336"/>
        <v>-0.865655765285679</v>
      </c>
      <c r="Z358" t="str">
        <f t="shared" si="323"/>
        <v>0,994849327800162+2,01405432408939i</v>
      </c>
      <c r="AA358" s="4">
        <f t="shared" si="337"/>
        <v>2.24636150372276</v>
      </c>
      <c r="AB358" s="4">
        <f t="shared" si="338"/>
        <v>1.11199754944439</v>
      </c>
      <c r="AC358" s="67" t="str">
        <f t="shared" si="339"/>
        <v>-0,591480921759987-0,590610633576109i</v>
      </c>
      <c r="AD358" s="68">
        <f t="shared" si="340"/>
        <v>-1.55727530628785</v>
      </c>
      <c r="AE358" s="31">
        <f t="shared" si="341"/>
        <v>-135.04218271475</v>
      </c>
      <c r="AF358" s="32" t="str">
        <f t="shared" si="342"/>
        <v>236,914774604583</v>
      </c>
      <c r="AG358" s="32" t="str">
        <f t="shared" si="324"/>
        <v>1+52,0253466882428i</v>
      </c>
      <c r="AH358" s="32">
        <f t="shared" si="343"/>
        <v>52.0349565007203</v>
      </c>
      <c r="AI358" s="32">
        <f t="shared" si="344"/>
        <v>1.55157729344156</v>
      </c>
      <c r="AJ358" s="32" t="str">
        <f t="shared" si="325"/>
        <v>1+2,47471919381912i</v>
      </c>
      <c r="AK358" s="32">
        <f t="shared" si="345"/>
        <v>2.66912627806493</v>
      </c>
      <c r="AL358" s="32">
        <f t="shared" si="346"/>
        <v>1.18677229105891</v>
      </c>
      <c r="AM358" s="32" t="str">
        <f t="shared" si="326"/>
        <v>1-0,117636912045133i</v>
      </c>
      <c r="AN358" s="32">
        <f t="shared" si="347"/>
        <v>1.00689544793663</v>
      </c>
      <c r="AO358" s="32">
        <f t="shared" si="348"/>
        <v>-0.117098736299256</v>
      </c>
      <c r="AP358" s="30" t="str">
        <f t="shared" si="349"/>
        <v>10,8427675800774-5,67112490262373i</v>
      </c>
      <c r="AQ358" s="32">
        <f t="shared" si="350"/>
        <v>21.753008958234</v>
      </c>
      <c r="AR358" s="31">
        <f t="shared" si="351"/>
        <v>-27.6110503580482</v>
      </c>
      <c r="AS358" t="str">
        <f t="shared" si="327"/>
        <v>-0,000272527472527473</v>
      </c>
      <c r="AT358" t="str">
        <f t="shared" si="328"/>
        <v>0,0354636098757116i</v>
      </c>
      <c r="AU358">
        <f t="shared" si="352"/>
        <v>0.0354636098757116</v>
      </c>
      <c r="AV358">
        <f t="shared" si="353"/>
        <v>1.5707963267949</v>
      </c>
      <c r="AW358" t="str">
        <f t="shared" si="329"/>
        <v>1+1,81567177893155i</v>
      </c>
      <c r="AX358">
        <f t="shared" si="354"/>
        <v>2.07283960035707</v>
      </c>
      <c r="AY358">
        <f t="shared" si="355"/>
        <v>1.06736955163668</v>
      </c>
      <c r="AZ358" t="str">
        <f t="shared" si="330"/>
        <v>1+86,8045635587063i</v>
      </c>
      <c r="BA358">
        <f t="shared" si="356"/>
        <v>86.8103234334344</v>
      </c>
      <c r="BB358">
        <f t="shared" si="357"/>
        <v>1.55927670472992</v>
      </c>
      <c r="BC358" s="30" t="str">
        <f t="shared" si="358"/>
        <v>-0,152005086201106+0,283676052874825i</v>
      </c>
      <c r="BD358" s="32">
        <f t="shared" si="359"/>
        <v>-9.84733949937177</v>
      </c>
      <c r="BE358" s="31">
        <f t="shared" si="360"/>
        <v>118.184203784538</v>
      </c>
      <c r="BF358" s="30" t="str">
        <f t="shared" si="361"/>
        <v>0,257450201817207-0,07801315296761i</v>
      </c>
      <c r="BG358" s="68">
        <f t="shared" si="362"/>
        <v>-11.4046148056596</v>
      </c>
      <c r="BH358" s="31">
        <f t="shared" si="363"/>
        <v>-16.8579789302117</v>
      </c>
      <c r="BI358" s="30" t="str">
        <f t="shared" si="316"/>
        <v>-0,0393934929317967+3,93787333903603i</v>
      </c>
      <c r="BJ358" s="68">
        <f t="shared" si="364"/>
        <v>11.9056694588622</v>
      </c>
      <c r="BK358" s="31">
        <f t="shared" si="317"/>
        <v>90.5731534264901</v>
      </c>
      <c r="BL358" s="32">
        <f t="shared" si="365"/>
        <v>-11.4046148056596</v>
      </c>
      <c r="BM358" s="31">
        <f t="shared" si="366"/>
        <v>-16.8579789302117</v>
      </c>
      <c r="BO358">
        <f t="shared" si="367"/>
        <v>0</v>
      </c>
      <c r="BP358">
        <f t="shared" si="368"/>
        <v>0</v>
      </c>
    </row>
    <row r="359" spans="14:68">
      <c r="N359" s="7">
        <v>41</v>
      </c>
      <c r="O359" s="18">
        <f t="shared" si="318"/>
        <v>25703.9578276886</v>
      </c>
      <c r="P359" s="86" t="str">
        <f t="shared" si="319"/>
        <v>96,0576923076923</v>
      </c>
      <c r="Q359" s="4" t="str">
        <f t="shared" si="320"/>
        <v>1+215,581298188791i</v>
      </c>
      <c r="R359" s="4">
        <f t="shared" si="331"/>
        <v>215.583617486961</v>
      </c>
      <c r="S359" s="4">
        <f t="shared" si="332"/>
        <v>1.56615773877161</v>
      </c>
      <c r="T359" s="4" t="str">
        <f t="shared" si="321"/>
        <v>1+2,53236280889778i</v>
      </c>
      <c r="U359" s="4">
        <f t="shared" si="333"/>
        <v>2.72265704705691</v>
      </c>
      <c r="V359" s="4">
        <f t="shared" si="334"/>
        <v>1.19470449191701</v>
      </c>
      <c r="W359" t="str">
        <f t="shared" si="322"/>
        <v>1-1,20229810229699i</v>
      </c>
      <c r="X359" s="4">
        <f t="shared" si="335"/>
        <v>1.56381607831194</v>
      </c>
      <c r="Y359" s="4">
        <f t="shared" si="336"/>
        <v>-0.8769988322392</v>
      </c>
      <c r="Z359" t="str">
        <f t="shared" si="323"/>
        <v>0,994606584097897+2,06096767591342i</v>
      </c>
      <c r="AA359" s="4">
        <f t="shared" si="337"/>
        <v>2.28841211723126</v>
      </c>
      <c r="AB359" s="4">
        <f t="shared" si="338"/>
        <v>1.12117182267763</v>
      </c>
      <c r="AC359" s="67" t="str">
        <f t="shared" si="339"/>
        <v>-0,594019166255587-0,578274998926116i</v>
      </c>
      <c r="AD359" s="68">
        <f t="shared" si="340"/>
        <v>-1.62878461906878</v>
      </c>
      <c r="AE359" s="31">
        <f t="shared" si="341"/>
        <v>-135.769448604825</v>
      </c>
      <c r="AF359" s="32" t="str">
        <f t="shared" si="342"/>
        <v>236,914774604583</v>
      </c>
      <c r="AG359" s="32" t="str">
        <f t="shared" si="324"/>
        <v>1+53,2371726870555i</v>
      </c>
      <c r="AH359" s="32">
        <f t="shared" si="343"/>
        <v>53.2465637925244</v>
      </c>
      <c r="AI359" s="32">
        <f t="shared" si="344"/>
        <v>1.55201466798024</v>
      </c>
      <c r="AJ359" s="32" t="str">
        <f t="shared" si="325"/>
        <v>1+2,53236280889778i</v>
      </c>
      <c r="AK359" s="32">
        <f t="shared" si="345"/>
        <v>2.72265704705691</v>
      </c>
      <c r="AL359" s="32">
        <f t="shared" si="346"/>
        <v>1.19470449191701</v>
      </c>
      <c r="AM359" s="32" t="str">
        <f t="shared" si="326"/>
        <v>1-0,120377027729332i</v>
      </c>
      <c r="AN359" s="32">
        <f t="shared" si="347"/>
        <v>1.00721925557693</v>
      </c>
      <c r="AO359" s="32">
        <f t="shared" si="348"/>
        <v>-0.119800585025517</v>
      </c>
      <c r="AP359" s="30" t="str">
        <f t="shared" si="349"/>
        <v>10,8390096588057-5,60316126752055i</v>
      </c>
      <c r="AQ359" s="32">
        <f t="shared" si="350"/>
        <v>21.7283503744058</v>
      </c>
      <c r="AR359" s="31">
        <f t="shared" si="351"/>
        <v>-27.3364329706596</v>
      </c>
      <c r="AS359" t="str">
        <f t="shared" si="327"/>
        <v>-0,000272527472527473</v>
      </c>
      <c r="AT359" t="str">
        <f t="shared" si="328"/>
        <v>0,036289663466794i</v>
      </c>
      <c r="AU359">
        <f t="shared" si="352"/>
        <v>0.036289663466794</v>
      </c>
      <c r="AV359">
        <f t="shared" si="353"/>
        <v>1.5707963267949</v>
      </c>
      <c r="AW359" t="str">
        <f t="shared" si="329"/>
        <v>1+1,85796420766259i</v>
      </c>
      <c r="AX359">
        <f t="shared" si="354"/>
        <v>2.10998364850424</v>
      </c>
      <c r="AY359">
        <f t="shared" si="355"/>
        <v>1.07703951008194</v>
      </c>
      <c r="AZ359" t="str">
        <f t="shared" si="330"/>
        <v>1+88,8265015876133i</v>
      </c>
      <c r="BA359">
        <f t="shared" si="356"/>
        <v>88.8321303599901</v>
      </c>
      <c r="BB359">
        <f t="shared" si="357"/>
        <v>1.55953890093034</v>
      </c>
      <c r="BC359" s="30" t="str">
        <f t="shared" si="358"/>
        <v>-0,14670041234726+0,280073897694729i</v>
      </c>
      <c r="BD359" s="32">
        <f t="shared" si="359"/>
        <v>-10.0016332911314</v>
      </c>
      <c r="BE359" s="31">
        <f t="shared" si="360"/>
        <v>117.645178713247</v>
      </c>
      <c r="BF359" s="30" t="str">
        <f t="shared" si="361"/>
        <v>0,249102589520523-0,0815360824060029i</v>
      </c>
      <c r="BG359" s="68">
        <f t="shared" si="362"/>
        <v>-11.6304179102002</v>
      </c>
      <c r="BH359" s="31">
        <f t="shared" si="363"/>
        <v>-18.1242698915789</v>
      </c>
      <c r="BI359" s="30" t="str">
        <f t="shared" si="316"/>
        <v>-0,0207879707761116+3,85770975068599i</v>
      </c>
      <c r="BJ359" s="68">
        <f t="shared" si="364"/>
        <v>11.7267170832744</v>
      </c>
      <c r="BK359" s="31">
        <f t="shared" si="317"/>
        <v>90.3087457425869</v>
      </c>
      <c r="BL359" s="32">
        <f t="shared" si="365"/>
        <v>-11.6304179102002</v>
      </c>
      <c r="BM359" s="31">
        <f t="shared" si="366"/>
        <v>-18.1242698915789</v>
      </c>
      <c r="BO359">
        <f t="shared" si="367"/>
        <v>0</v>
      </c>
      <c r="BP359">
        <f t="shared" si="368"/>
        <v>0</v>
      </c>
    </row>
    <row r="360" spans="14:68">
      <c r="N360" s="7">
        <v>42</v>
      </c>
      <c r="O360" s="18">
        <f t="shared" si="318"/>
        <v>26302.6799189538</v>
      </c>
      <c r="P360" s="86" t="str">
        <f t="shared" si="319"/>
        <v>96,0576923076923</v>
      </c>
      <c r="Q360" s="4" t="str">
        <f t="shared" si="320"/>
        <v>1+220,602831703377i</v>
      </c>
      <c r="R360" s="4">
        <f t="shared" si="331"/>
        <v>220.605098208424</v>
      </c>
      <c r="S360" s="4">
        <f t="shared" si="332"/>
        <v>1.56626332446261</v>
      </c>
      <c r="T360" s="4" t="str">
        <f t="shared" si="321"/>
        <v>1+2,5913491162575i</v>
      </c>
      <c r="U360" s="4">
        <f t="shared" si="333"/>
        <v>2.77760512714254</v>
      </c>
      <c r="V360" s="4">
        <f t="shared" si="334"/>
        <v>1.20250444819136</v>
      </c>
      <c r="W360" t="str">
        <f t="shared" si="322"/>
        <v>1-1,23030322271296i</v>
      </c>
      <c r="X360" s="4">
        <f t="shared" si="335"/>
        <v>1.5854482078636</v>
      </c>
      <c r="Y360" s="4">
        <f t="shared" si="336"/>
        <v>-0.888294422916792</v>
      </c>
      <c r="Z360" t="str">
        <f t="shared" si="323"/>
        <v>0,994352400237396+2,10897378007935i</v>
      </c>
      <c r="AA360" s="4">
        <f t="shared" si="337"/>
        <v>2.33163185364243</v>
      </c>
      <c r="AB360" s="4">
        <f t="shared" si="338"/>
        <v>1.13021869517217</v>
      </c>
      <c r="AC360" s="67" t="str">
        <f t="shared" si="339"/>
        <v>-0,596484517013128-0,56615880639562i</v>
      </c>
      <c r="AD360" s="68">
        <f t="shared" si="340"/>
        <v>-1.69841622257527</v>
      </c>
      <c r="AE360" s="31">
        <f t="shared" si="341"/>
        <v>-136.494130929053</v>
      </c>
      <c r="AF360" s="32" t="str">
        <f t="shared" si="342"/>
        <v>236,914774604583</v>
      </c>
      <c r="AG360" s="32" t="str">
        <f t="shared" si="324"/>
        <v>1+54,4772257395042i</v>
      </c>
      <c r="AH360" s="32">
        <f t="shared" si="343"/>
        <v>54.4864031137393</v>
      </c>
      <c r="AI360" s="32">
        <f t="shared" si="344"/>
        <v>1.55244209360333</v>
      </c>
      <c r="AJ360" s="32" t="str">
        <f t="shared" si="325"/>
        <v>1+2,5913491162575i</v>
      </c>
      <c r="AK360" s="32">
        <f t="shared" si="345"/>
        <v>2.77760512714254</v>
      </c>
      <c r="AL360" s="32">
        <f t="shared" si="346"/>
        <v>1.20250444819136</v>
      </c>
      <c r="AM360" s="32" t="str">
        <f t="shared" si="326"/>
        <v>1-0,123180968907011i</v>
      </c>
      <c r="AN360" s="32">
        <f t="shared" si="347"/>
        <v>1.00755821226412</v>
      </c>
      <c r="AO360" s="32">
        <f t="shared" si="348"/>
        <v>-0.122563549393414</v>
      </c>
      <c r="AP360" s="30" t="str">
        <f t="shared" si="349"/>
        <v>10,835420755225-5,53816214915108i</v>
      </c>
      <c r="AQ360" s="32">
        <f t="shared" si="350"/>
        <v>21.7048931682396</v>
      </c>
      <c r="AR360" s="31">
        <f t="shared" si="351"/>
        <v>-27.0723242772373</v>
      </c>
      <c r="AS360" t="str">
        <f t="shared" si="327"/>
        <v>-0,000272527472527473</v>
      </c>
      <c r="AT360" t="str">
        <f t="shared" si="328"/>
        <v>0,0371349583177972i</v>
      </c>
      <c r="AU360">
        <f t="shared" si="352"/>
        <v>0.0371349583177972</v>
      </c>
      <c r="AV360">
        <f t="shared" si="353"/>
        <v>1.5707963267949</v>
      </c>
      <c r="AW360" t="str">
        <f t="shared" si="329"/>
        <v>1+1,90124175360958i</v>
      </c>
      <c r="AX360">
        <f t="shared" si="354"/>
        <v>2.14818998360676</v>
      </c>
      <c r="AY360">
        <f t="shared" si="355"/>
        <v>1.08658762083661</v>
      </c>
      <c r="AZ360" t="str">
        <f t="shared" si="330"/>
        <v>1+90,8955366034198i</v>
      </c>
      <c r="BA360">
        <f t="shared" si="356"/>
        <v>90.9010372571382</v>
      </c>
      <c r="BB360">
        <f t="shared" si="357"/>
        <v>1.55979513031229</v>
      </c>
      <c r="BC360" s="30" t="str">
        <f t="shared" si="358"/>
        <v>-0,141528576799494+0,276418878329056i</v>
      </c>
      <c r="BD360" s="32">
        <f t="shared" si="359"/>
        <v>-10.1575300123839</v>
      </c>
      <c r="BE360" s="31">
        <f t="shared" si="360"/>
        <v>117.112793126853</v>
      </c>
      <c r="BF360" s="30" t="str">
        <f t="shared" si="361"/>
        <v>0,240916586995796-0,0847519310217452i</v>
      </c>
      <c r="BG360" s="68">
        <f t="shared" si="362"/>
        <v>-11.8559462349592</v>
      </c>
      <c r="BH360" s="31">
        <f t="shared" si="363"/>
        <v>-19.3813378022006</v>
      </c>
      <c r="BI360" s="30" t="str">
        <f t="shared" si="316"/>
        <v>-0,00266910923791719+3,77892305843685i</v>
      </c>
      <c r="BJ360" s="68">
        <f t="shared" si="364"/>
        <v>11.5473631558557</v>
      </c>
      <c r="BK360" s="31">
        <f t="shared" si="317"/>
        <v>90.0404688496156</v>
      </c>
      <c r="BL360" s="32">
        <f t="shared" si="365"/>
        <v>-11.8559462349592</v>
      </c>
      <c r="BM360" s="31">
        <f t="shared" si="366"/>
        <v>-19.3813378022006</v>
      </c>
      <c r="BO360">
        <f t="shared" si="367"/>
        <v>0</v>
      </c>
      <c r="BP360">
        <f t="shared" si="368"/>
        <v>0</v>
      </c>
    </row>
    <row r="361" spans="14:68">
      <c r="N361" s="7">
        <v>43</v>
      </c>
      <c r="O361" s="18">
        <f t="shared" si="318"/>
        <v>26915.3480392692</v>
      </c>
      <c r="P361" s="86" t="str">
        <f t="shared" si="319"/>
        <v>96,0576923076923</v>
      </c>
      <c r="Q361" s="4" t="str">
        <f t="shared" si="320"/>
        <v>1+225,741331759357i</v>
      </c>
      <c r="R361" s="4">
        <f t="shared" si="331"/>
        <v>225.743546672963</v>
      </c>
      <c r="S361" s="4">
        <f t="shared" si="332"/>
        <v>1.56636650682752</v>
      </c>
      <c r="T361" s="4" t="str">
        <f t="shared" si="321"/>
        <v>1+2,65170939121923i</v>
      </c>
      <c r="U361" s="4">
        <f t="shared" si="333"/>
        <v>2.83400118127715</v>
      </c>
      <c r="V361" s="4">
        <f t="shared" si="334"/>
        <v>1.21017249814437</v>
      </c>
      <c r="W361" t="str">
        <f t="shared" si="322"/>
        <v>1-1,2589606661826i</v>
      </c>
      <c r="X361" s="4">
        <f t="shared" si="335"/>
        <v>1.60778790858587</v>
      </c>
      <c r="Y361" s="4">
        <f t="shared" si="336"/>
        <v>-0.8995369974545</v>
      </c>
      <c r="Z361" t="str">
        <f t="shared" si="323"/>
        <v>0,994086237060612+2,15809809005905i</v>
      </c>
      <c r="AA361" s="4">
        <f t="shared" si="337"/>
        <v>2.37604604606684</v>
      </c>
      <c r="AB361" s="4">
        <f t="shared" si="338"/>
        <v>1.13913715819306</v>
      </c>
      <c r="AC361" s="67" t="str">
        <f t="shared" si="339"/>
        <v>-0,598877604243956-0,554259316040385i</v>
      </c>
      <c r="AD361" s="68">
        <f t="shared" si="340"/>
        <v>-1.76618525244933</v>
      </c>
      <c r="AE361" s="31">
        <f t="shared" si="341"/>
        <v>-137.215838306392</v>
      </c>
      <c r="AF361" s="32" t="str">
        <f t="shared" si="342"/>
        <v>236,914774604583</v>
      </c>
      <c r="AG361" s="32" t="str">
        <f t="shared" si="324"/>
        <v>1+55,7461633381315i</v>
      </c>
      <c r="AH361" s="32">
        <f t="shared" si="343"/>
        <v>55.755131843819</v>
      </c>
      <c r="AI361" s="32">
        <f t="shared" si="344"/>
        <v>1.5528597963125</v>
      </c>
      <c r="AJ361" s="32" t="str">
        <f t="shared" si="325"/>
        <v>1+2,65170939121923i</v>
      </c>
      <c r="AK361" s="32">
        <f t="shared" si="345"/>
        <v>2.83400118127715</v>
      </c>
      <c r="AL361" s="32">
        <f t="shared" si="346"/>
        <v>1.21017249814437</v>
      </c>
      <c r="AM361" s="32" t="str">
        <f t="shared" si="326"/>
        <v>1-0,126050222264898i</v>
      </c>
      <c r="AN361" s="32">
        <f t="shared" si="347"/>
        <v>1.00791302131336</v>
      </c>
      <c r="AO361" s="32">
        <f t="shared" si="348"/>
        <v>-0.125388925533589</v>
      </c>
      <c r="AP361" s="30" t="str">
        <f t="shared" si="349"/>
        <v>10,831993272543-5,47609350791111i</v>
      </c>
      <c r="AQ361" s="32">
        <f t="shared" si="350"/>
        <v>21.6826076200898</v>
      </c>
      <c r="AR361" s="31">
        <f t="shared" si="351"/>
        <v>-26.8187921085295</v>
      </c>
      <c r="AS361" t="str">
        <f t="shared" si="327"/>
        <v>-0,000272527472527473</v>
      </c>
      <c r="AT361" t="str">
        <f t="shared" si="328"/>
        <v>0,0379999426152399i</v>
      </c>
      <c r="AU361">
        <f t="shared" si="352"/>
        <v>0.0379999426152399</v>
      </c>
      <c r="AV361">
        <f t="shared" si="353"/>
        <v>1.5707963267949</v>
      </c>
      <c r="AW361" t="str">
        <f t="shared" si="329"/>
        <v>1+1,94552736310026i</v>
      </c>
      <c r="AX361">
        <f t="shared" si="354"/>
        <v>2.18748182176946</v>
      </c>
      <c r="AY361">
        <f t="shared" si="355"/>
        <v>1.09601198187383</v>
      </c>
      <c r="AZ361" t="str">
        <f t="shared" si="330"/>
        <v>1+93,0127656358785i</v>
      </c>
      <c r="BA361">
        <f t="shared" si="356"/>
        <v>93.0181410867518</v>
      </c>
      <c r="BB361">
        <f t="shared" si="357"/>
        <v>1.56004552859733</v>
      </c>
      <c r="BC361" s="30" t="str">
        <f t="shared" si="358"/>
        <v>-0,136489929247794+0,272716678562326i</v>
      </c>
      <c r="BD361" s="32">
        <f t="shared" si="359"/>
        <v>-10.314988976057</v>
      </c>
      <c r="BE361" s="31">
        <f t="shared" si="360"/>
        <v>116.587163779743</v>
      </c>
      <c r="BF361" s="30" t="str">
        <f t="shared" si="361"/>
        <v>0,232896521564106-0,087673096263492i</v>
      </c>
      <c r="BG361" s="68">
        <f t="shared" si="362"/>
        <v>-12.0811742285064</v>
      </c>
      <c r="BH361" s="31">
        <f t="shared" si="363"/>
        <v>-20.628674526649</v>
      </c>
      <c r="BI361" s="30" t="str">
        <f t="shared" si="316"/>
        <v>0,0149640375922599+3,70149684294648i</v>
      </c>
      <c r="BJ361" s="68">
        <f t="shared" si="364"/>
        <v>11.3676186440328</v>
      </c>
      <c r="BK361" s="31">
        <f t="shared" si="317"/>
        <v>89.7683716712138</v>
      </c>
      <c r="BL361" s="32">
        <f t="shared" si="365"/>
        <v>-12.0811742285064</v>
      </c>
      <c r="BM361" s="31">
        <f t="shared" si="366"/>
        <v>-20.628674526649</v>
      </c>
      <c r="BO361">
        <f t="shared" si="367"/>
        <v>0</v>
      </c>
      <c r="BP361">
        <f t="shared" si="368"/>
        <v>0</v>
      </c>
    </row>
    <row r="362" spans="14:68">
      <c r="N362" s="7">
        <v>44</v>
      </c>
      <c r="O362" s="18">
        <f t="shared" si="318"/>
        <v>27542.2870333817</v>
      </c>
      <c r="P362" s="86" t="str">
        <f t="shared" si="319"/>
        <v>96,0576923076923</v>
      </c>
      <c r="Q362" s="4" t="str">
        <f t="shared" si="320"/>
        <v>1+230,999522857475i</v>
      </c>
      <c r="R362" s="4">
        <f t="shared" si="331"/>
        <v>231.00168735397</v>
      </c>
      <c r="S362" s="4">
        <f t="shared" si="332"/>
        <v>1.5664673405662</v>
      </c>
      <c r="T362" s="4" t="str">
        <f t="shared" si="321"/>
        <v>1+2,71347563759971i</v>
      </c>
      <c r="U362" s="4">
        <f t="shared" si="333"/>
        <v>2.89187655957981</v>
      </c>
      <c r="V362" s="4">
        <f t="shared" si="334"/>
        <v>1.21770909947775</v>
      </c>
      <c r="W362" t="str">
        <f t="shared" si="322"/>
        <v>1-1,28828562726177i</v>
      </c>
      <c r="X362" s="4">
        <f t="shared" si="335"/>
        <v>1.63085249406844</v>
      </c>
      <c r="Y362" s="4">
        <f t="shared" si="336"/>
        <v>-0.91072114938396</v>
      </c>
      <c r="Z362" t="str">
        <f t="shared" si="323"/>
        <v>0,993807529999762+2,20836665221191i</v>
      </c>
      <c r="AA362" s="4">
        <f t="shared" si="337"/>
        <v>2.42168054814954</v>
      </c>
      <c r="AB362" s="4">
        <f t="shared" si="338"/>
        <v>1.14792638287912</v>
      </c>
      <c r="AC362" s="67" t="str">
        <f t="shared" si="339"/>
        <v>-0,601199164887584-0,542573823367364i</v>
      </c>
      <c r="AD362" s="68">
        <f t="shared" si="340"/>
        <v>-1.83210846943792</v>
      </c>
      <c r="AE362" s="31">
        <f t="shared" si="341"/>
        <v>-137.934190388471</v>
      </c>
      <c r="AF362" s="32" t="str">
        <f t="shared" si="342"/>
        <v>236,914774604583</v>
      </c>
      <c r="AG362" s="32" t="str">
        <f t="shared" si="324"/>
        <v>1+57,0446582904483i</v>
      </c>
      <c r="AH362" s="32">
        <f t="shared" si="343"/>
        <v>57.0534226797482</v>
      </c>
      <c r="AI362" s="32">
        <f t="shared" si="344"/>
        <v>1.55326799699588</v>
      </c>
      <c r="AJ362" s="32" t="str">
        <f t="shared" si="325"/>
        <v>1+2,71347563759971i</v>
      </c>
      <c r="AK362" s="32">
        <f t="shared" si="345"/>
        <v>2.89187655957981</v>
      </c>
      <c r="AL362" s="32">
        <f t="shared" si="346"/>
        <v>1.21770909947775</v>
      </c>
      <c r="AM362" s="32" t="str">
        <f t="shared" si="326"/>
        <v>1-0,128986309119102i</v>
      </c>
      <c r="AN362" s="32">
        <f t="shared" si="347"/>
        <v>1.00828441817781</v>
      </c>
      <c r="AO362" s="32">
        <f t="shared" si="348"/>
        <v>-0.128278030967239</v>
      </c>
      <c r="AP362" s="30" t="str">
        <f t="shared" si="349"/>
        <v>10,8287199549775-5,41692282971877i</v>
      </c>
      <c r="AQ362" s="32">
        <f t="shared" si="350"/>
        <v>21.6614649773227</v>
      </c>
      <c r="AR362" s="31">
        <f t="shared" si="351"/>
        <v>-26.5758983845232</v>
      </c>
      <c r="AS362" t="str">
        <f t="shared" si="327"/>
        <v>-0,000272527472527473</v>
      </c>
      <c r="AT362" t="str">
        <f t="shared" si="328"/>
        <v>0,0388850749852457i</v>
      </c>
      <c r="AU362">
        <f t="shared" si="352"/>
        <v>0.0388850749852457</v>
      </c>
      <c r="AV362">
        <f t="shared" si="353"/>
        <v>1.5707963267949</v>
      </c>
      <c r="AW362" t="str">
        <f t="shared" si="329"/>
        <v>1+1,99084451695096i</v>
      </c>
      <c r="AX362">
        <f t="shared" si="354"/>
        <v>2.22788282696234</v>
      </c>
      <c r="AY362">
        <f t="shared" si="355"/>
        <v>1.10531089277553</v>
      </c>
      <c r="AZ362" t="str">
        <f t="shared" si="330"/>
        <v>1+95,1793112678468i</v>
      </c>
      <c r="BA362">
        <f t="shared" si="356"/>
        <v>95.1845643653511</v>
      </c>
      <c r="BB362">
        <f t="shared" si="357"/>
        <v>1.56029022842427</v>
      </c>
      <c r="BC362" s="30" t="str">
        <f t="shared" si="358"/>
        <v>-0,131584526570723+0,268972869872333i</v>
      </c>
      <c r="BD362" s="32">
        <f t="shared" si="359"/>
        <v>-10.4739694308363</v>
      </c>
      <c r="BE362" s="31">
        <f t="shared" si="360"/>
        <v>116.068395698339</v>
      </c>
      <c r="BF362" s="30" t="str">
        <f t="shared" si="361"/>
        <v>0,225046145875171-0,0903119450672017i</v>
      </c>
      <c r="BG362" s="68">
        <f t="shared" si="362"/>
        <v>-12.3060779002742</v>
      </c>
      <c r="BH362" s="31">
        <f t="shared" si="363"/>
        <v>-21.8657946901316</v>
      </c>
      <c r="BI362" s="30" t="str">
        <f t="shared" si="316"/>
        <v>0,0321132907437611+3,62541510935278i</v>
      </c>
      <c r="BJ362" s="68">
        <f t="shared" si="364"/>
        <v>11.1874955464863</v>
      </c>
      <c r="BK362" s="31">
        <f t="shared" si="317"/>
        <v>89.4924973138158</v>
      </c>
      <c r="BL362" s="32">
        <f t="shared" si="365"/>
        <v>-12.3060779002742</v>
      </c>
      <c r="BM362" s="31">
        <f t="shared" si="366"/>
        <v>-21.8657946901316</v>
      </c>
      <c r="BO362">
        <f t="shared" si="367"/>
        <v>0</v>
      </c>
      <c r="BP362">
        <f t="shared" si="368"/>
        <v>0</v>
      </c>
    </row>
    <row r="363" spans="14:68">
      <c r="N363" s="7">
        <v>45</v>
      </c>
      <c r="O363" s="18">
        <f t="shared" si="318"/>
        <v>28183.8293126446</v>
      </c>
      <c r="P363" s="86" t="str">
        <f t="shared" si="319"/>
        <v>96,0576923076923</v>
      </c>
      <c r="Q363" s="4" t="str">
        <f t="shared" si="320"/>
        <v>1+236,380192960252i</v>
      </c>
      <c r="R363" s="4">
        <f t="shared" si="331"/>
        <v>236.382308187237</v>
      </c>
      <c r="S363" s="4">
        <f t="shared" si="332"/>
        <v>1.56656587913383</v>
      </c>
      <c r="T363" s="4" t="str">
        <f t="shared" si="321"/>
        <v>1+2,77668060468033i</v>
      </c>
      <c r="U363" s="4">
        <f t="shared" si="333"/>
        <v>2.95126331939526</v>
      </c>
      <c r="V363" s="4">
        <f t="shared" si="334"/>
        <v>1.22511482254968</v>
      </c>
      <c r="W363" t="str">
        <f t="shared" si="322"/>
        <v>1-1,31829365443298i</v>
      </c>
      <c r="X363" s="4">
        <f t="shared" si="335"/>
        <v>1.65465952972757</v>
      </c>
      <c r="Y363" s="4">
        <f t="shared" si="336"/>
        <v>-0.921841617482052</v>
      </c>
      <c r="Z363" t="str">
        <f t="shared" si="323"/>
        <v>0,993515687879802+2,25980611959496i</v>
      </c>
      <c r="AA363" s="4">
        <f t="shared" si="337"/>
        <v>2.46856175134877</v>
      </c>
      <c r="AB363" s="4">
        <f t="shared" si="338"/>
        <v>1.15658571421839</v>
      </c>
      <c r="AC363" s="67" t="str">
        <f t="shared" si="339"/>
        <v>-0,603450034610194-0,531099652493213i</v>
      </c>
      <c r="AD363" s="68">
        <f t="shared" si="340"/>
        <v>-1.89620421483693</v>
      </c>
      <c r="AE363" s="31">
        <f t="shared" si="341"/>
        <v>-138.648818583627</v>
      </c>
      <c r="AF363" s="32" t="str">
        <f t="shared" si="342"/>
        <v>236,914774604583</v>
      </c>
      <c r="AG363" s="32" t="str">
        <f t="shared" si="324"/>
        <v>1+58,373399075666i</v>
      </c>
      <c r="AH363" s="32">
        <f t="shared" si="343"/>
        <v>58.3819639927175</v>
      </c>
      <c r="AI363" s="32">
        <f t="shared" si="344"/>
        <v>1.55366691154244</v>
      </c>
      <c r="AJ363" s="32" t="str">
        <f t="shared" si="325"/>
        <v>1+2,77668060468033i</v>
      </c>
      <c r="AK363" s="32">
        <f t="shared" si="345"/>
        <v>2.95126331939526</v>
      </c>
      <c r="AL363" s="32">
        <f t="shared" si="346"/>
        <v>1.22511482254968</v>
      </c>
      <c r="AM363" s="32" t="str">
        <f t="shared" si="326"/>
        <v>1-0,131990786221736i</v>
      </c>
      <c r="AN363" s="32">
        <f t="shared" si="347"/>
        <v>1.00867317186859</v>
      </c>
      <c r="AO363" s="32">
        <f t="shared" si="348"/>
        <v>-0.131232204512241</v>
      </c>
      <c r="AP363" s="30" t="str">
        <f t="shared" si="349"/>
        <v>10,8255938724877-5,36061911065783i</v>
      </c>
      <c r="AQ363" s="32">
        <f t="shared" si="350"/>
        <v>21.6414374900251</v>
      </c>
      <c r="AR363" s="31">
        <f t="shared" si="351"/>
        <v>-26.3436995042411</v>
      </c>
      <c r="AS363" t="str">
        <f t="shared" si="327"/>
        <v>-0,000272527472527473</v>
      </c>
      <c r="AT363" t="str">
        <f t="shared" si="328"/>
        <v>0,0397908247367137i</v>
      </c>
      <c r="AU363">
        <f t="shared" si="352"/>
        <v>0.0397908247367137</v>
      </c>
      <c r="AV363">
        <f t="shared" si="353"/>
        <v>1.5707963267949</v>
      </c>
      <c r="AW363" t="str">
        <f t="shared" si="329"/>
        <v>1+2,03721724291648i</v>
      </c>
      <c r="AX363">
        <f t="shared" si="354"/>
        <v>2.26941712667289</v>
      </c>
      <c r="AY363">
        <f t="shared" si="355"/>
        <v>1.11448285043863</v>
      </c>
      <c r="AZ363" t="str">
        <f t="shared" si="330"/>
        <v>1+97,3963222304962i</v>
      </c>
      <c r="BA363">
        <f t="shared" si="356"/>
        <v>97.4014557592783</v>
      </c>
      <c r="BB363">
        <f t="shared" si="357"/>
        <v>1.56052935941893</v>
      </c>
      <c r="BC363" s="30" t="str">
        <f t="shared" si="358"/>
        <v>-0,12681214771344+0,265192896795704i</v>
      </c>
      <c r="BD363" s="32">
        <f t="shared" si="359"/>
        <v>-10.6344306486758</v>
      </c>
      <c r="BE363" s="31">
        <f t="shared" si="360"/>
        <v>115.556582431115</v>
      </c>
      <c r="BF363" s="30" t="str">
        <f t="shared" si="361"/>
        <v>0,217368650258535-0,0926807751672192i</v>
      </c>
      <c r="BG363" s="68">
        <f t="shared" si="362"/>
        <v>-12.5306348635127</v>
      </c>
      <c r="BH363" s="31">
        <f t="shared" si="363"/>
        <v>-23.0922361525118</v>
      </c>
      <c r="BI363" s="30" t="str">
        <f t="shared" si="316"/>
        <v>0,0487813013301395+3,55066222107507i</v>
      </c>
      <c r="BJ363" s="68">
        <f t="shared" si="364"/>
        <v>11.0070068413493</v>
      </c>
      <c r="BK363" s="31">
        <f t="shared" si="317"/>
        <v>89.2128829268743</v>
      </c>
      <c r="BL363" s="32">
        <f t="shared" si="365"/>
        <v>-12.5306348635127</v>
      </c>
      <c r="BM363" s="31">
        <f t="shared" si="366"/>
        <v>-23.0922361525118</v>
      </c>
      <c r="BO363">
        <f t="shared" si="367"/>
        <v>0</v>
      </c>
      <c r="BP363">
        <f t="shared" si="368"/>
        <v>0</v>
      </c>
    </row>
    <row r="364" spans="14:68">
      <c r="N364" s="7">
        <v>46</v>
      </c>
      <c r="O364" s="18">
        <f t="shared" si="318"/>
        <v>28840.3150312661</v>
      </c>
      <c r="P364" s="86" t="str">
        <f t="shared" si="319"/>
        <v>96,0576923076923</v>
      </c>
      <c r="Q364" s="4" t="str">
        <f t="shared" si="320"/>
        <v>1+241,886194970198i</v>
      </c>
      <c r="R364" s="4">
        <f t="shared" si="331"/>
        <v>241.888262049155</v>
      </c>
      <c r="S364" s="4">
        <f t="shared" si="332"/>
        <v>1.56666217476921</v>
      </c>
      <c r="T364" s="4" t="str">
        <f t="shared" si="321"/>
        <v>1+2,84135780457127i</v>
      </c>
      <c r="U364" s="4">
        <f t="shared" si="333"/>
        <v>3.0121942456618</v>
      </c>
      <c r="V364" s="4">
        <f t="shared" si="334"/>
        <v>1.2323903436781</v>
      </c>
      <c r="W364" t="str">
        <f t="shared" si="322"/>
        <v>1-1,34900065834946i</v>
      </c>
      <c r="X364" s="4">
        <f t="shared" si="335"/>
        <v>1.67922683882413</v>
      </c>
      <c r="Y364" s="4">
        <f t="shared" si="336"/>
        <v>-0.932893296767113</v>
      </c>
      <c r="Z364" t="str">
        <f t="shared" si="323"/>
        <v>0,993210091664468+2,31244376609469i</v>
      </c>
      <c r="AA364" s="4">
        <f t="shared" si="337"/>
        <v>2.51671660254673</v>
      </c>
      <c r="AB364" s="4">
        <f t="shared" si="338"/>
        <v>1.16511466477327</v>
      </c>
      <c r="AC364" s="67" t="str">
        <f t="shared" si="339"/>
        <v>-0,605631139813197-0,519834150090427i</v>
      </c>
      <c r="AD364" s="68">
        <f t="shared" si="340"/>
        <v>-1.95849235854747</v>
      </c>
      <c r="AE364" s="31">
        <f t="shared" si="341"/>
        <v>-139.35936671274</v>
      </c>
      <c r="AF364" s="32" t="str">
        <f t="shared" si="342"/>
        <v>236,914774604583</v>
      </c>
      <c r="AG364" s="32" t="str">
        <f t="shared" si="324"/>
        <v>1+59,7330902097369i</v>
      </c>
      <c r="AH364" s="32">
        <f t="shared" si="343"/>
        <v>59.7414601931068</v>
      </c>
      <c r="AI364" s="32">
        <f t="shared" si="344"/>
        <v>1.55405675095381</v>
      </c>
      <c r="AJ364" s="32" t="str">
        <f t="shared" si="325"/>
        <v>1+2,84135780457127i</v>
      </c>
      <c r="AK364" s="32">
        <f t="shared" si="345"/>
        <v>3.0121942456618</v>
      </c>
      <c r="AL364" s="32">
        <f t="shared" si="346"/>
        <v>1.2323903436781</v>
      </c>
      <c r="AM364" s="32" t="str">
        <f t="shared" si="326"/>
        <v>1-0,13506524658633i</v>
      </c>
      <c r="AN364" s="32">
        <f t="shared" si="347"/>
        <v>1.0090800864329</v>
      </c>
      <c r="AO364" s="32">
        <f t="shared" si="348"/>
        <v>-0.134252806149107</v>
      </c>
      <c r="AP364" s="30" t="str">
        <f t="shared" si="349"/>
        <v>10,8226084061859-5,30715284229626i</v>
      </c>
      <c r="AQ364" s="32">
        <f t="shared" si="350"/>
        <v>21.6224984432517</v>
      </c>
      <c r="AR364" s="31">
        <f t="shared" si="351"/>
        <v>-26.1222467281659</v>
      </c>
      <c r="AS364" t="str">
        <f t="shared" si="327"/>
        <v>-0,000272527472527473</v>
      </c>
      <c r="AT364" t="str">
        <f t="shared" si="328"/>
        <v>0,0407176721101507i</v>
      </c>
      <c r="AU364">
        <f t="shared" si="352"/>
        <v>0.0407176721101507</v>
      </c>
      <c r="AV364">
        <f t="shared" si="353"/>
        <v>1.5707963267949</v>
      </c>
      <c r="AW364" t="str">
        <f t="shared" si="329"/>
        <v>1+2,08467012842995i</v>
      </c>
      <c r="AX364">
        <f t="shared" si="354"/>
        <v>2.31210932794454</v>
      </c>
      <c r="AY364">
        <f t="shared" si="355"/>
        <v>1.12352654429443</v>
      </c>
      <c r="AZ364" t="str">
        <f t="shared" si="330"/>
        <v>1+99,664974012385i</v>
      </c>
      <c r="BA364">
        <f t="shared" si="356"/>
        <v>99.6699906937358</v>
      </c>
      <c r="BB364">
        <f t="shared" si="357"/>
        <v>1.56076304826225</v>
      </c>
      <c r="BC364" s="30" t="str">
        <f t="shared" si="358"/>
        <v>-0,122172309118609+0,261382063864653i</v>
      </c>
      <c r="BD364" s="32">
        <f t="shared" si="359"/>
        <v>-10.7963320076589</v>
      </c>
      <c r="BE364" s="31">
        <f t="shared" si="360"/>
        <v>115.051806326411</v>
      </c>
      <c r="BF364" s="30" t="str">
        <f t="shared" si="361"/>
        <v>0,209866677843077-0,0947917787898186i</v>
      </c>
      <c r="BG364" s="68">
        <f t="shared" si="362"/>
        <v>-12.7548243662063</v>
      </c>
      <c r="BH364" s="31">
        <f t="shared" si="363"/>
        <v>-24.3075603863284</v>
      </c>
      <c r="BI364" s="30" t="str">
        <f t="shared" si="316"/>
        <v>0,0649715034943557+3,47722283919654i</v>
      </c>
      <c r="BJ364" s="68">
        <f t="shared" si="364"/>
        <v>10.8261664355928</v>
      </c>
      <c r="BK364" s="31">
        <f t="shared" si="317"/>
        <v>88.9295595982454</v>
      </c>
      <c r="BL364" s="32">
        <f t="shared" si="365"/>
        <v>-12.7548243662063</v>
      </c>
      <c r="BM364" s="31">
        <f t="shared" si="366"/>
        <v>-24.3075603863284</v>
      </c>
      <c r="BO364">
        <f t="shared" si="367"/>
        <v>0</v>
      </c>
      <c r="BP364">
        <f t="shared" si="368"/>
        <v>0</v>
      </c>
    </row>
    <row r="365" spans="14:68">
      <c r="N365" s="7">
        <v>47</v>
      </c>
      <c r="O365" s="18">
        <f t="shared" si="318"/>
        <v>29512.0922666639</v>
      </c>
      <c r="P365" s="86" t="str">
        <f t="shared" si="319"/>
        <v>96,0576923076923</v>
      </c>
      <c r="Q365" s="4" t="str">
        <f t="shared" si="320"/>
        <v>1+247,52044824246i</v>
      </c>
      <c r="R365" s="4">
        <f t="shared" si="331"/>
        <v>247.522468269344</v>
      </c>
      <c r="S365" s="4">
        <f t="shared" si="332"/>
        <v>1.5667562785224</v>
      </c>
      <c r="T365" s="4" t="str">
        <f t="shared" si="321"/>
        <v>1+2,90754152998001i</v>
      </c>
      <c r="U365" s="4">
        <f t="shared" si="333"/>
        <v>3.07470287158914</v>
      </c>
      <c r="V365" s="4">
        <f t="shared" si="334"/>
        <v>1.2395364385532</v>
      </c>
      <c r="W365" t="str">
        <f t="shared" si="322"/>
        <v>1-1,38042292027112i</v>
      </c>
      <c r="X365" s="4">
        <f t="shared" si="335"/>
        <v>1.70457250910891</v>
      </c>
      <c r="Y365" s="4">
        <f t="shared" si="336"/>
        <v>-0.943871248595328</v>
      </c>
      <c r="Z365" t="str">
        <f t="shared" si="323"/>
        <v>0,992890093143216+2,36630750088801i</v>
      </c>
      <c r="AA365" s="4">
        <f t="shared" si="337"/>
        <v>2.56617262198411</v>
      </c>
      <c r="AB365" s="4">
        <f t="shared" si="338"/>
        <v>1.17351290820368</v>
      </c>
      <c r="AC365" s="67" t="str">
        <f t="shared" si="339"/>
        <v>-0,607743489708547-0,508774680085995i</v>
      </c>
      <c r="AD365" s="68">
        <f t="shared" si="340"/>
        <v>-2.01899424031182</v>
      </c>
      <c r="AE365" s="31">
        <f t="shared" si="341"/>
        <v>-140.065491595631</v>
      </c>
      <c r="AF365" s="32" t="str">
        <f t="shared" si="342"/>
        <v>236,914774604583</v>
      </c>
      <c r="AG365" s="32" t="str">
        <f t="shared" si="324"/>
        <v>1+61,1244526188978i</v>
      </c>
      <c r="AH365" s="32">
        <f t="shared" si="343"/>
        <v>61.1326321039744</v>
      </c>
      <c r="AI365" s="32">
        <f t="shared" si="344"/>
        <v>1.55443772145376</v>
      </c>
      <c r="AJ365" s="32" t="str">
        <f t="shared" si="325"/>
        <v>1+2,90754152998001i</v>
      </c>
      <c r="AK365" s="32">
        <f t="shared" si="345"/>
        <v>3.07470287158914</v>
      </c>
      <c r="AL365" s="32">
        <f t="shared" si="346"/>
        <v>1.2395364385532</v>
      </c>
      <c r="AM365" s="32" t="str">
        <f t="shared" si="326"/>
        <v>1-0,138211320332463i</v>
      </c>
      <c r="AN365" s="32">
        <f t="shared" si="347"/>
        <v>1.00950600249233</v>
      </c>
      <c r="AO365" s="32">
        <f t="shared" si="348"/>
        <v>-0.137341216843625</v>
      </c>
      <c r="AP365" s="30" t="str">
        <f t="shared" si="349"/>
        <v>10,8197572343989-5,25649599768077i</v>
      </c>
      <c r="AQ365" s="32">
        <f t="shared" si="350"/>
        <v>21.6046221860125</v>
      </c>
      <c r="AR365" s="31">
        <f t="shared" si="351"/>
        <v>-25.9115865517881</v>
      </c>
      <c r="AS365" t="str">
        <f t="shared" si="327"/>
        <v>-0,000272527472527473</v>
      </c>
      <c r="AT365" t="str">
        <f t="shared" si="328"/>
        <v>0,0416661085323028i</v>
      </c>
      <c r="AU365">
        <f t="shared" si="352"/>
        <v>0.0416661085323028</v>
      </c>
      <c r="AV365">
        <f t="shared" si="353"/>
        <v>1.5707963267949</v>
      </c>
      <c r="AW365" t="str">
        <f t="shared" si="329"/>
        <v>1+2,13322833363939i</v>
      </c>
      <c r="AX365">
        <f t="shared" si="354"/>
        <v>2.35598453378665</v>
      </c>
      <c r="AY365">
        <f t="shared" si="355"/>
        <v>1.13244085109667</v>
      </c>
      <c r="AZ365" t="str">
        <f t="shared" si="330"/>
        <v>1+101,986469482717i</v>
      </c>
      <c r="BA365">
        <f t="shared" si="356"/>
        <v>101.991371976012</v>
      </c>
      <c r="BB365">
        <f t="shared" si="357"/>
        <v>1.560991418757</v>
      </c>
      <c r="BC365" s="30" t="str">
        <f t="shared" si="358"/>
        <v>-0,117664280557371+0,257545524097713i</v>
      </c>
      <c r="BD365" s="32">
        <f t="shared" si="359"/>
        <v>-10.9596330700646</v>
      </c>
      <c r="BE365" s="31">
        <f t="shared" si="360"/>
        <v>114.554138834872</v>
      </c>
      <c r="BF365" s="30" t="str">
        <f t="shared" si="361"/>
        <v>0,202542342110376-0,0966570088758356i</v>
      </c>
      <c r="BG365" s="68">
        <f t="shared" si="362"/>
        <v>-12.9786273103765</v>
      </c>
      <c r="BH365" s="31">
        <f t="shared" si="363"/>
        <v>-25.5113527607584</v>
      </c>
      <c r="BI365" s="30" t="str">
        <f t="shared" si="316"/>
        <v>0,0806880658492679+3,40508186736309i</v>
      </c>
      <c r="BJ365" s="68">
        <f t="shared" si="364"/>
        <v>10.6449891159478</v>
      </c>
      <c r="BK365" s="31">
        <f t="shared" si="317"/>
        <v>88.6425522830844</v>
      </c>
      <c r="BL365" s="32">
        <f t="shared" si="365"/>
        <v>-12.9786273103765</v>
      </c>
      <c r="BM365" s="31">
        <f t="shared" si="366"/>
        <v>-25.5113527607584</v>
      </c>
      <c r="BO365">
        <f t="shared" si="367"/>
        <v>0</v>
      </c>
      <c r="BP365">
        <f t="shared" si="368"/>
        <v>0</v>
      </c>
    </row>
    <row r="366" spans="14:68">
      <c r="N366" s="7">
        <v>48</v>
      </c>
      <c r="O366" s="18">
        <f t="shared" si="318"/>
        <v>30199.5172040202</v>
      </c>
      <c r="P366" s="86" t="str">
        <f t="shared" si="319"/>
        <v>96,0576923076923</v>
      </c>
      <c r="Q366" s="4" t="str">
        <f t="shared" si="320"/>
        <v>1+253,2859401327i</v>
      </c>
      <c r="R366" s="4">
        <f t="shared" si="331"/>
        <v>253.287914178521</v>
      </c>
      <c r="S366" s="4">
        <f t="shared" si="332"/>
        <v>1.56684824028178</v>
      </c>
      <c r="T366" s="4" t="str">
        <f t="shared" si="321"/>
        <v>1+2,9752668723938i</v>
      </c>
      <c r="U366" s="4">
        <f t="shared" si="333"/>
        <v>3.13882349965142</v>
      </c>
      <c r="V366" s="4">
        <f t="shared" si="334"/>
        <v>1.24655397577949</v>
      </c>
      <c r="W366" t="str">
        <f t="shared" si="322"/>
        <v>1-1,41257710069717i</v>
      </c>
      <c r="X366" s="4">
        <f t="shared" si="335"/>
        <v>1.73071490009592</v>
      </c>
      <c r="Y366" s="4">
        <f t="shared" si="336"/>
        <v>-0.95477070982038</v>
      </c>
      <c r="Z366" t="str">
        <f t="shared" si="323"/>
        <v>0,992555013556278+2,42142588324008i</v>
      </c>
      <c r="AA366" s="4">
        <f t="shared" si="337"/>
        <v>2.61695792151129</v>
      </c>
      <c r="AB366" s="4">
        <f t="shared" si="338"/>
        <v>1.18178027263391</v>
      </c>
      <c r="AC366" s="67" t="str">
        <f t="shared" si="339"/>
        <v>-0,609788168511899-0,497918619074323i</v>
      </c>
      <c r="AD366" s="68">
        <f t="shared" si="340"/>
        <v>-2.07773260474464</v>
      </c>
      <c r="AE366" s="31">
        <f t="shared" si="341"/>
        <v>-140.766863567389</v>
      </c>
      <c r="AF366" s="32" t="str">
        <f t="shared" si="342"/>
        <v>236,914774604583</v>
      </c>
      <c r="AG366" s="32" t="str">
        <f t="shared" si="324"/>
        <v>1+62,5482240219151i</v>
      </c>
      <c r="AH366" s="32">
        <f t="shared" si="343"/>
        <v>62.556217343248</v>
      </c>
      <c r="AI366" s="32">
        <f t="shared" si="344"/>
        <v>1.5548100245953</v>
      </c>
      <c r="AJ366" s="32" t="str">
        <f t="shared" si="325"/>
        <v>1+2,9752668723938i</v>
      </c>
      <c r="AK366" s="32">
        <f t="shared" si="345"/>
        <v>3.13882349965142</v>
      </c>
      <c r="AL366" s="32">
        <f t="shared" si="346"/>
        <v>1.24655397577949</v>
      </c>
      <c r="AM366" s="32" t="str">
        <f t="shared" si="326"/>
        <v>1-0,14143067555008i</v>
      </c>
      <c r="AN366" s="32">
        <f t="shared" si="347"/>
        <v>1.00995179884317</v>
      </c>
      <c r="AO366" s="32">
        <f t="shared" si="348"/>
        <v>-0.140498838322862</v>
      </c>
      <c r="AP366" s="30" t="str">
        <f t="shared" si="349"/>
        <v>10,8170343193516-5,20862201800772i</v>
      </c>
      <c r="AQ366" s="32">
        <f t="shared" si="350"/>
        <v>21.5877841572107</v>
      </c>
      <c r="AR366" s="31">
        <f t="shared" si="351"/>
        <v>-25.7117610689154</v>
      </c>
      <c r="AS366" t="str">
        <f t="shared" si="327"/>
        <v>-0,000272527472527473</v>
      </c>
      <c r="AT366" t="str">
        <f t="shared" si="328"/>
        <v>0,0426366368767147i</v>
      </c>
      <c r="AU366">
        <f t="shared" si="352"/>
        <v>0.0426366368767147</v>
      </c>
      <c r="AV366">
        <f t="shared" si="353"/>
        <v>1.5707963267949</v>
      </c>
      <c r="AW366" t="str">
        <f t="shared" si="329"/>
        <v>1+2,18291760474794i</v>
      </c>
      <c r="AX366">
        <f t="shared" si="354"/>
        <v>2.40106835994282</v>
      </c>
      <c r="AY366">
        <f t="shared" si="355"/>
        <v>1.1412248293323</v>
      </c>
      <c r="AZ366" t="str">
        <f t="shared" si="330"/>
        <v>1+104,362039529119i</v>
      </c>
      <c r="BA366">
        <f t="shared" si="356"/>
        <v>104.366830433224</v>
      </c>
      <c r="BB366">
        <f t="shared" si="357"/>
        <v>1.56121459189292</v>
      </c>
      <c r="BC366" s="30" t="str">
        <f t="shared" si="358"/>
        <v>-0,113287101216376+0,253688269013794i</v>
      </c>
      <c r="BD366" s="32">
        <f t="shared" si="359"/>
        <v>-11.1242936555388</v>
      </c>
      <c r="BE366" s="31">
        <f t="shared" si="360"/>
        <v>114.063640833424</v>
      </c>
      <c r="BF366" s="30" t="str">
        <f t="shared" si="361"/>
        <v>0,19539724654946-0,0982883479382844i</v>
      </c>
      <c r="BG366" s="68">
        <f t="shared" si="362"/>
        <v>-13.2020262602834</v>
      </c>
      <c r="BH366" s="31">
        <f t="shared" si="363"/>
        <v>-26.7032227339641</v>
      </c>
      <c r="BI366" s="30" t="str">
        <f t="shared" si="316"/>
        <v>0,0959358418981153+3,334224402091i</v>
      </c>
      <c r="BJ366" s="68">
        <f t="shared" si="364"/>
        <v>10.4634905016719</v>
      </c>
      <c r="BK366" s="31">
        <f t="shared" si="317"/>
        <v>88.3518797645091</v>
      </c>
      <c r="BL366" s="32">
        <f t="shared" si="365"/>
        <v>-13.2020262602834</v>
      </c>
      <c r="BM366" s="31">
        <f t="shared" si="366"/>
        <v>-26.7032227339641</v>
      </c>
      <c r="BO366">
        <f t="shared" si="367"/>
        <v>0</v>
      </c>
      <c r="BP366">
        <f t="shared" si="368"/>
        <v>0</v>
      </c>
    </row>
    <row r="367" spans="14:68">
      <c r="N367" s="7">
        <v>49</v>
      </c>
      <c r="O367" s="18">
        <f t="shared" si="318"/>
        <v>30902.954325136</v>
      </c>
      <c r="P367" s="86" t="str">
        <f t="shared" si="319"/>
        <v>96,0576923076923</v>
      </c>
      <c r="Q367" s="4" t="str">
        <f t="shared" si="320"/>
        <v>1+259,185727581035i</v>
      </c>
      <c r="R367" s="4">
        <f t="shared" si="331"/>
        <v>259.187656692425</v>
      </c>
      <c r="S367" s="4">
        <f t="shared" si="332"/>
        <v>1.56693810880049</v>
      </c>
      <c r="T367" s="4" t="str">
        <f t="shared" si="321"/>
        <v>1+3,04456974068565i</v>
      </c>
      <c r="U367" s="4">
        <f t="shared" si="333"/>
        <v>3.20459122290171</v>
      </c>
      <c r="V367" s="4">
        <f t="shared" si="334"/>
        <v>1.2534439105655</v>
      </c>
      <c r="W367" t="str">
        <f t="shared" si="322"/>
        <v>1-1,44548024819968i</v>
      </c>
      <c r="X367" s="4">
        <f t="shared" si="335"/>
        <v>1.75767265096076</v>
      </c>
      <c r="Y367" s="4">
        <f t="shared" si="336"/>
        <v>-0.965587100988498</v>
      </c>
      <c r="Z367" t="str">
        <f t="shared" si="323"/>
        <v>0,992204142154927+2,47782813764681i</v>
      </c>
      <c r="AA367" s="4">
        <f t="shared" si="337"/>
        <v>2.66910122315053</v>
      </c>
      <c r="AB367" s="4">
        <f t="shared" si="338"/>
        <v>1.18991673390665</v>
      </c>
      <c r="AC367" s="67" t="str">
        <f t="shared" si="339"/>
        <v>-0,611766327798567-0,48726335240364i</v>
      </c>
      <c r="AD367" s="68">
        <f t="shared" si="340"/>
        <v>-2.13473153081808</v>
      </c>
      <c r="AE367" s="31">
        <f t="shared" si="341"/>
        <v>-141.463166924459</v>
      </c>
      <c r="AF367" s="32" t="str">
        <f t="shared" si="342"/>
        <v>236,914774604583</v>
      </c>
      <c r="AG367" s="32" t="str">
        <f t="shared" si="324"/>
        <v>1+64,0051593212324i</v>
      </c>
      <c r="AH367" s="32">
        <f t="shared" si="343"/>
        <v>64.0129707148195</v>
      </c>
      <c r="AI367" s="32">
        <f t="shared" si="344"/>
        <v>1.5551738573654</v>
      </c>
      <c r="AJ367" s="32" t="str">
        <f t="shared" si="325"/>
        <v>1+3,04456974068565i</v>
      </c>
      <c r="AK367" s="32">
        <f t="shared" si="345"/>
        <v>3.20459122290171</v>
      </c>
      <c r="AL367" s="32">
        <f t="shared" si="346"/>
        <v>1.2534439105655</v>
      </c>
      <c r="AM367" s="32" t="str">
        <f t="shared" si="326"/>
        <v>1-0,14472501918393i</v>
      </c>
      <c r="AN367" s="32">
        <f t="shared" si="347"/>
        <v>1.01041839412087</v>
      </c>
      <c r="AO367" s="32">
        <f t="shared" si="348"/>
        <v>-0.143727092801018</v>
      </c>
      <c r="AP367" s="30" t="str">
        <f t="shared" si="349"/>
        <v>10,8144338944443-5,16350579997046i</v>
      </c>
      <c r="AQ367" s="32">
        <f t="shared" si="350"/>
        <v>21.5719609087385</v>
      </c>
      <c r="AR367" s="31">
        <f t="shared" si="351"/>
        <v>-25.5228083235249</v>
      </c>
      <c r="AS367" t="str">
        <f t="shared" si="327"/>
        <v>-0,000272527472527473</v>
      </c>
      <c r="AT367" t="str">
        <f t="shared" si="328"/>
        <v>0,0436297717303614i</v>
      </c>
      <c r="AU367">
        <f t="shared" si="352"/>
        <v>0.0436297717303614</v>
      </c>
      <c r="AV367">
        <f t="shared" si="353"/>
        <v>1.5707963267949</v>
      </c>
      <c r="AW367" t="str">
        <f t="shared" si="329"/>
        <v>1+2,23376428766485i</v>
      </c>
      <c r="AX367">
        <f t="shared" si="354"/>
        <v>2.44738695200552</v>
      </c>
      <c r="AY367">
        <f t="shared" si="355"/>
        <v>1.14987771330791</v>
      </c>
      <c r="AZ367" t="str">
        <f t="shared" si="330"/>
        <v>1+106,792943710275i</v>
      </c>
      <c r="BA367">
        <f t="shared" si="356"/>
        <v>106.797625564925</v>
      </c>
      <c r="BB367">
        <f t="shared" si="357"/>
        <v>1.56143268591036</v>
      </c>
      <c r="BC367" s="30" t="str">
        <f t="shared" si="358"/>
        <v>-0,109039595906518+0,249815120126868i</v>
      </c>
      <c r="BD367" s="32">
        <f t="shared" si="359"/>
        <v>-11.2902739093126</v>
      </c>
      <c r="BE367" s="31">
        <f t="shared" si="360"/>
        <v>113.580362967743</v>
      </c>
      <c r="BF367" s="30" t="str">
        <f t="shared" si="361"/>
        <v>0,188432506086506-0,0996974796224237i</v>
      </c>
      <c r="BG367" s="68">
        <f t="shared" si="362"/>
        <v>-13.4250054401307</v>
      </c>
      <c r="BH367" s="31">
        <f t="shared" si="363"/>
        <v>-27.882803956716</v>
      </c>
      <c r="BI367" s="30" t="str">
        <f t="shared" si="316"/>
        <v>0,110720319887442+3,26463568833442i</v>
      </c>
      <c r="BJ367" s="68">
        <f t="shared" si="364"/>
        <v>10.2816869994259</v>
      </c>
      <c r="BK367" s="31">
        <f t="shared" si="317"/>
        <v>88.0575546442179</v>
      </c>
      <c r="BL367" s="32">
        <f t="shared" si="365"/>
        <v>-13.4250054401307</v>
      </c>
      <c r="BM367" s="31">
        <f t="shared" si="366"/>
        <v>-27.882803956716</v>
      </c>
      <c r="BO367">
        <f t="shared" si="367"/>
        <v>0</v>
      </c>
      <c r="BP367">
        <f t="shared" si="368"/>
        <v>0</v>
      </c>
    </row>
    <row r="368" spans="14:68">
      <c r="N368" s="7">
        <v>50</v>
      </c>
      <c r="O368" s="18">
        <f t="shared" si="318"/>
        <v>31622.7766016838</v>
      </c>
      <c r="P368" s="86" t="str">
        <f t="shared" si="319"/>
        <v>96,0576923076923</v>
      </c>
      <c r="Q368" s="4" t="str">
        <f t="shared" si="320"/>
        <v>1+265,222938732861i</v>
      </c>
      <c r="R368" s="4">
        <f t="shared" si="331"/>
        <v>265.224823932631</v>
      </c>
      <c r="S368" s="4">
        <f t="shared" si="332"/>
        <v>1.56702593172218</v>
      </c>
      <c r="T368" s="4" t="str">
        <f t="shared" si="321"/>
        <v>1+3,11548688015366i</v>
      </c>
      <c r="U368" s="4">
        <f t="shared" si="333"/>
        <v>3.27204194661523</v>
      </c>
      <c r="V368" s="4">
        <f t="shared" si="334"/>
        <v>1.26020727857623</v>
      </c>
      <c r="W368" t="str">
        <f t="shared" si="322"/>
        <v>1-1,47914980846298i</v>
      </c>
      <c r="X368" s="4">
        <f t="shared" si="335"/>
        <v>1.78546468905887</v>
      </c>
      <c r="Y368" s="4">
        <f t="shared" si="336"/>
        <v>-0.976316033550515</v>
      </c>
      <c r="Z368" t="str">
        <f t="shared" si="323"/>
        <v>0,991836734693878+2,53554416933005i</v>
      </c>
      <c r="AA368" s="4">
        <f t="shared" si="337"/>
        <v>2.72263187796511</v>
      </c>
      <c r="AB368" s="4">
        <f t="shared" si="338"/>
        <v>1.19792240876447</v>
      </c>
      <c r="AC368" s="67" t="str">
        <f t="shared" si="339"/>
        <v>-0,613679179061801-0,476806270893261i</v>
      </c>
      <c r="AD368" s="68">
        <f t="shared" si="340"/>
        <v>-2.19001635648673</v>
      </c>
      <c r="AE368" s="31">
        <f t="shared" si="341"/>
        <v>-142.154100300899</v>
      </c>
      <c r="AF368" s="32" t="str">
        <f t="shared" si="342"/>
        <v>236,914774604583</v>
      </c>
      <c r="AG368" s="32" t="str">
        <f t="shared" si="324"/>
        <v>1+65,4960310032302i</v>
      </c>
      <c r="AH368" s="32">
        <f t="shared" si="343"/>
        <v>65.5036646087537</v>
      </c>
      <c r="AI368" s="32">
        <f t="shared" si="344"/>
        <v>1.5555294122875</v>
      </c>
      <c r="AJ368" s="32" t="str">
        <f t="shared" si="325"/>
        <v>1+3,11548688015366i</v>
      </c>
      <c r="AK368" s="32">
        <f t="shared" si="345"/>
        <v>3.27204194661523</v>
      </c>
      <c r="AL368" s="32">
        <f t="shared" si="346"/>
        <v>1.26020727857623</v>
      </c>
      <c r="AM368" s="32" t="str">
        <f t="shared" si="326"/>
        <v>1-0,148096097938613i</v>
      </c>
      <c r="AN368" s="32">
        <f t="shared" si="347"/>
        <v>1.01090674853057</v>
      </c>
      <c r="AO368" s="32">
        <f t="shared" si="348"/>
        <v>-0.147027422651446</v>
      </c>
      <c r="AP368" s="30" t="str">
        <f t="shared" si="349"/>
        <v>10,8119504520977-5,12112368378327i</v>
      </c>
      <c r="AQ368" s="32">
        <f t="shared" si="350"/>
        <v>21.5571301259401</v>
      </c>
      <c r="AR368" s="31">
        <f t="shared" si="351"/>
        <v>-25.3447626490682</v>
      </c>
      <c r="AS368" t="str">
        <f t="shared" si="327"/>
        <v>-0,000272527472527473</v>
      </c>
      <c r="AT368" t="str">
        <f t="shared" si="328"/>
        <v>0,0446460396664877i</v>
      </c>
      <c r="AU368">
        <f t="shared" si="352"/>
        <v>0.0446460396664877</v>
      </c>
      <c r="AV368">
        <f t="shared" si="353"/>
        <v>1.5707963267949</v>
      </c>
      <c r="AW368" t="str">
        <f t="shared" si="329"/>
        <v>1+2,28579534197445i</v>
      </c>
      <c r="AX368">
        <f t="shared" si="354"/>
        <v>2.49496700286639</v>
      </c>
      <c r="AY368">
        <f t="shared" si="355"/>
        <v>1.15839890696319</v>
      </c>
      <c r="AZ368" t="str">
        <f t="shared" si="330"/>
        <v>1+109,280470923757i</v>
      </c>
      <c r="BA368">
        <f t="shared" si="356"/>
        <v>109.285046210898</v>
      </c>
      <c r="BB368">
        <f t="shared" si="357"/>
        <v>1.56164581636263</v>
      </c>
      <c r="BC368" s="30" t="str">
        <f t="shared" si="358"/>
        <v>-0,104920391269434+0,245930721868393i</v>
      </c>
      <c r="BD368" s="32">
        <f t="shared" si="359"/>
        <v>-11.4575343654517</v>
      </c>
      <c r="BE368" s="31">
        <f t="shared" si="360"/>
        <v>113.104346010282</v>
      </c>
      <c r="BF368" s="30" t="str">
        <f t="shared" si="361"/>
        <v>0,181648769973225-0,100895863000431i</v>
      </c>
      <c r="BG368" s="68">
        <f t="shared" si="362"/>
        <v>-13.6475507219384</v>
      </c>
      <c r="BH368" s="31">
        <f t="shared" si="363"/>
        <v>-29.0497542906162</v>
      </c>
      <c r="BI368" s="30" t="str">
        <f t="shared" si="316"/>
        <v>0,125047572510319+3,19630108013139i</v>
      </c>
      <c r="BJ368" s="68">
        <f t="shared" si="364"/>
        <v>10.0995957604884</v>
      </c>
      <c r="BK368" s="31">
        <f t="shared" si="317"/>
        <v>87.7595833612143</v>
      </c>
      <c r="BL368" s="32">
        <f t="shared" si="365"/>
        <v>-13.6475507219384</v>
      </c>
      <c r="BM368" s="31">
        <f t="shared" si="366"/>
        <v>-29.0497542906162</v>
      </c>
      <c r="BO368">
        <f t="shared" si="367"/>
        <v>0</v>
      </c>
      <c r="BP368">
        <f t="shared" si="368"/>
        <v>0</v>
      </c>
    </row>
    <row r="369" spans="14:68">
      <c r="N369" s="7">
        <v>51</v>
      </c>
      <c r="O369" s="18">
        <f t="shared" si="318"/>
        <v>32359.3656929629</v>
      </c>
      <c r="P369" s="86" t="str">
        <f t="shared" si="319"/>
        <v>96,0576923076923</v>
      </c>
      <c r="Q369" s="4" t="str">
        <f t="shared" si="320"/>
        <v>1+271,400774597446i</v>
      </c>
      <c r="R369" s="4">
        <f t="shared" si="331"/>
        <v>271.402616885125</v>
      </c>
      <c r="S369" s="4">
        <f t="shared" si="332"/>
        <v>1.56711175560631</v>
      </c>
      <c r="T369" s="4" t="str">
        <f t="shared" si="321"/>
        <v>1+3,18805589200388i</v>
      </c>
      <c r="U369" s="4">
        <f t="shared" si="333"/>
        <v>3.34121241026976</v>
      </c>
      <c r="V369" s="4">
        <f t="shared" si="334"/>
        <v>1.2668451899616</v>
      </c>
      <c r="W369" t="str">
        <f t="shared" si="322"/>
        <v>1-1,51360363353359i</v>
      </c>
      <c r="X369" s="4">
        <f t="shared" si="335"/>
        <v>1.81411023905552</v>
      </c>
      <c r="Y369" s="4">
        <f t="shared" si="336"/>
        <v>-0.986953316081483</v>
      </c>
      <c r="Z369" t="str">
        <f t="shared" si="323"/>
        <v>0,991452011852646+2,59460458009378i</v>
      </c>
      <c r="AA369" s="4">
        <f t="shared" si="337"/>
        <v>2.77757988523288</v>
      </c>
      <c r="AB369" s="4">
        <f t="shared" si="338"/>
        <v>1.20579754799648</v>
      </c>
      <c r="AC369" s="67" t="str">
        <f t="shared" si="339"/>
        <v>-0,615527986507102-0,466544768137935i</v>
      </c>
      <c r="AD369" s="68">
        <f t="shared" si="340"/>
        <v>-2.24361359915844</v>
      </c>
      <c r="AE369" s="31">
        <f t="shared" si="341"/>
        <v>-142.839376975662</v>
      </c>
      <c r="AF369" s="32" t="str">
        <f t="shared" si="342"/>
        <v>236,914774604583</v>
      </c>
      <c r="AG369" s="32" t="str">
        <f t="shared" si="324"/>
        <v>1+67,0216295478088i</v>
      </c>
      <c r="AH369" s="32">
        <f t="shared" si="343"/>
        <v>67.0290894108201</v>
      </c>
      <c r="AI369" s="32">
        <f t="shared" si="344"/>
        <v>1.55587687752173</v>
      </c>
      <c r="AJ369" s="32" t="str">
        <f t="shared" si="325"/>
        <v>1+3,18805589200388i</v>
      </c>
      <c r="AK369" s="32">
        <f t="shared" si="345"/>
        <v>3.34121241026976</v>
      </c>
      <c r="AL369" s="32">
        <f t="shared" si="346"/>
        <v>1.2668451899616</v>
      </c>
      <c r="AM369" s="32" t="str">
        <f t="shared" si="326"/>
        <v>1-0,151545699204707i</v>
      </c>
      <c r="AN369" s="32">
        <f t="shared" si="347"/>
        <v>1.01141786564577</v>
      </c>
      <c r="AO369" s="32">
        <f t="shared" si="348"/>
        <v>-0.150401290020959</v>
      </c>
      <c r="AP369" s="30" t="str">
        <f t="shared" si="349"/>
        <v>10,8095787321408-5,08145344188174i</v>
      </c>
      <c r="AQ369" s="32">
        <f t="shared" si="350"/>
        <v>21.5432706456483</v>
      </c>
      <c r="AR369" s="31">
        <f t="shared" si="351"/>
        <v>-25.1776549942634</v>
      </c>
      <c r="AS369" t="str">
        <f t="shared" si="327"/>
        <v>-0,000272527472527473</v>
      </c>
      <c r="AT369" t="str">
        <f t="shared" si="328"/>
        <v>0,0456859795238055i</v>
      </c>
      <c r="AU369">
        <f t="shared" si="352"/>
        <v>0.0456859795238055</v>
      </c>
      <c r="AV369">
        <f t="shared" si="353"/>
        <v>1.5707963267949</v>
      </c>
      <c r="AW369" t="str">
        <f t="shared" si="329"/>
        <v>1+2,33903835523045i</v>
      </c>
      <c r="AX369">
        <f t="shared" si="354"/>
        <v>2.54383577049289</v>
      </c>
      <c r="AY369">
        <f t="shared" si="355"/>
        <v>1.16678797746061</v>
      </c>
      <c r="AZ369" t="str">
        <f t="shared" si="330"/>
        <v>1+111,825940089422i</v>
      </c>
      <c r="BA369">
        <f t="shared" si="356"/>
        <v>111.830411234525</v>
      </c>
      <c r="BB369">
        <f t="shared" si="357"/>
        <v>1.56185409617683</v>
      </c>
      <c r="BC369" s="30" t="str">
        <f t="shared" si="358"/>
        <v>-0,100927931868733+0,242039535875893i</v>
      </c>
      <c r="BD369" s="32">
        <f t="shared" si="359"/>
        <v>-11.6260360051525</v>
      </c>
      <c r="BE369" s="31">
        <f t="shared" si="360"/>
        <v>112.635621231054</v>
      </c>
      <c r="BF369" s="30" t="str">
        <f t="shared" si="361"/>
        <v>0,175046245830919-0,101894709600463i</v>
      </c>
      <c r="BG369" s="68">
        <f t="shared" si="362"/>
        <v>-13.869649604311</v>
      </c>
      <c r="BH369" s="31">
        <f t="shared" si="363"/>
        <v>-30.2037557446082</v>
      </c>
      <c r="BI369" s="30" t="str">
        <f t="shared" si="316"/>
        <v>0,138924206840804+3,12920600611766i</v>
      </c>
      <c r="BJ369" s="68">
        <f t="shared" si="364"/>
        <v>9.91723464049575</v>
      </c>
      <c r="BK369" s="31">
        <f t="shared" si="317"/>
        <v>87.4579662367902</v>
      </c>
      <c r="BL369" s="32">
        <f t="shared" si="365"/>
        <v>-13.869649604311</v>
      </c>
      <c r="BM369" s="31">
        <f t="shared" si="366"/>
        <v>-30.2037557446082</v>
      </c>
      <c r="BO369">
        <f t="shared" si="367"/>
        <v>0</v>
      </c>
      <c r="BP369">
        <f t="shared" si="368"/>
        <v>0</v>
      </c>
    </row>
    <row r="370" spans="14:68">
      <c r="N370" s="7">
        <v>52</v>
      </c>
      <c r="O370" s="18">
        <f t="shared" si="318"/>
        <v>33113.1121482591</v>
      </c>
      <c r="P370" s="86" t="str">
        <f t="shared" si="319"/>
        <v>96,0576923076923</v>
      </c>
      <c r="Q370" s="4" t="str">
        <f t="shared" si="320"/>
        <v>1+277,722510745133i</v>
      </c>
      <c r="R370" s="4">
        <f t="shared" si="331"/>
        <v>277.724311097499</v>
      </c>
      <c r="S370" s="4">
        <f t="shared" si="332"/>
        <v>1.56719562595278</v>
      </c>
      <c r="T370" s="4" t="str">
        <f t="shared" si="321"/>
        <v>1+3,26231525328692i</v>
      </c>
      <c r="U370" s="4">
        <f t="shared" si="333"/>
        <v>3.41214020987246</v>
      </c>
      <c r="V370" s="4">
        <f t="shared" si="334"/>
        <v>1.27335882357151</v>
      </c>
      <c r="W370" t="str">
        <f t="shared" si="322"/>
        <v>1-1,5488599912856i</v>
      </c>
      <c r="X370" s="4">
        <f t="shared" si="335"/>
        <v>1.84362883265728</v>
      </c>
      <c r="Y370" s="4">
        <f t="shared" si="336"/>
        <v>-0.997494959507149</v>
      </c>
      <c r="Z370" t="str">
        <f t="shared" si="323"/>
        <v>0,991049157582505+2,65504068454949i</v>
      </c>
      <c r="AA370" s="4">
        <f t="shared" si="337"/>
        <v>2.83397591192269</v>
      </c>
      <c r="AB370" s="4">
        <f t="shared" si="338"/>
        <v>1.21354252958486</v>
      </c>
      <c r="AC370" s="67" t="str">
        <f t="shared" si="339"/>
        <v>-0,617314060111072-0,456476238355074i</v>
      </c>
      <c r="AD370" s="68">
        <f t="shared" si="340"/>
        <v>-2.29555087272431</v>
      </c>
      <c r="AE370" s="31">
        <f t="shared" si="341"/>
        <v>-143.518725112241</v>
      </c>
      <c r="AF370" s="32" t="str">
        <f t="shared" si="342"/>
        <v>236,914774604583</v>
      </c>
      <c r="AG370" s="32" t="str">
        <f t="shared" si="324"/>
        <v>1+68,582763847509i</v>
      </c>
      <c r="AH370" s="32">
        <f t="shared" si="343"/>
        <v>68.5900539215649</v>
      </c>
      <c r="AI370" s="32">
        <f t="shared" si="344"/>
        <v>1.55621643696296</v>
      </c>
      <c r="AJ370" s="32" t="str">
        <f t="shared" si="325"/>
        <v>1+3,26231525328692i</v>
      </c>
      <c r="AK370" s="32">
        <f t="shared" si="345"/>
        <v>3.41214020987246</v>
      </c>
      <c r="AL370" s="32">
        <f t="shared" si="346"/>
        <v>1.27335882357151</v>
      </c>
      <c r="AM370" s="32" t="str">
        <f t="shared" si="326"/>
        <v>1-0,155075652006463i</v>
      </c>
      <c r="AN370" s="32">
        <f t="shared" si="347"/>
        <v>1.0119527942771</v>
      </c>
      <c r="AO370" s="32">
        <f t="shared" si="348"/>
        <v>-0.153850176382341</v>
      </c>
      <c r="AP370" s="30" t="str">
        <f t="shared" si="349"/>
        <v>10,8073137107176-5,04447426829989i</v>
      </c>
      <c r="AQ370" s="32">
        <f t="shared" si="350"/>
        <v>21.5303624719961</v>
      </c>
      <c r="AR370" s="31">
        <f t="shared" si="351"/>
        <v>-25.0215132345243</v>
      </c>
      <c r="AS370" t="str">
        <f t="shared" si="327"/>
        <v>-0,000272527472527473</v>
      </c>
      <c r="AT370" t="str">
        <f t="shared" si="328"/>
        <v>0,0467501426921921i</v>
      </c>
      <c r="AU370">
        <f t="shared" si="352"/>
        <v>0.0467501426921921</v>
      </c>
      <c r="AV370">
        <f t="shared" si="353"/>
        <v>1.5707963267949</v>
      </c>
      <c r="AW370" t="str">
        <f t="shared" si="329"/>
        <v>1+2,39352155758321i</v>
      </c>
      <c r="AX370">
        <f t="shared" si="354"/>
        <v>2.59402109602361</v>
      </c>
      <c r="AY370">
        <f t="shared" si="355"/>
        <v>1.1750446485982</v>
      </c>
      <c r="AZ370" t="str">
        <f t="shared" si="330"/>
        <v>1+114,430700848712i</v>
      </c>
      <c r="BA370">
        <f t="shared" si="356"/>
        <v>114.435070222058</v>
      </c>
      <c r="BB370">
        <f t="shared" si="357"/>
        <v>1.56205763571334</v>
      </c>
      <c r="BC370" s="30" t="str">
        <f t="shared" si="358"/>
        <v>-0,0970604960640029+0,238145836579038i</v>
      </c>
      <c r="BD370" s="32">
        <f t="shared" si="359"/>
        <v>-11.7957403101395</v>
      </c>
      <c r="BE370" s="31">
        <f t="shared" si="360"/>
        <v>112.174210778448</v>
      </c>
      <c r="BF370" s="30" t="str">
        <f t="shared" si="361"/>
        <v>0,168624724563186-0,10270496314098i</v>
      </c>
      <c r="BG370" s="68">
        <f t="shared" si="362"/>
        <v>-14.0912911828638</v>
      </c>
      <c r="BH370" s="31">
        <f t="shared" si="363"/>
        <v>-31.344514333793</v>
      </c>
      <c r="BI370" s="30" t="str">
        <f t="shared" ref="BI370:BI433" si="369">IMPRODUCT(AP370,BC370)</f>
        <v>0,152357314844158+3,06333593967424i</v>
      </c>
      <c r="BJ370" s="68">
        <f t="shared" si="364"/>
        <v>9.73462216185663</v>
      </c>
      <c r="BK370" s="31">
        <f t="shared" ref="BK370:BK433" si="370">(180/PI())*IMARGUMENT(BI370)</f>
        <v>87.152697543924</v>
      </c>
      <c r="BL370" s="32">
        <f t="shared" si="365"/>
        <v>-14.0912911828638</v>
      </c>
      <c r="BM370" s="31">
        <f t="shared" si="366"/>
        <v>-31.344514333793</v>
      </c>
      <c r="BO370">
        <f t="shared" si="367"/>
        <v>0</v>
      </c>
      <c r="BP370">
        <f t="shared" si="368"/>
        <v>0</v>
      </c>
    </row>
    <row r="371" spans="14:68">
      <c r="N371" s="7">
        <v>53</v>
      </c>
      <c r="O371" s="18">
        <f t="shared" si="318"/>
        <v>33884.4156139203</v>
      </c>
      <c r="P371" s="86" t="str">
        <f t="shared" si="319"/>
        <v>96,0576923076923</v>
      </c>
      <c r="Q371" s="4" t="str">
        <f t="shared" si="320"/>
        <v>1+284,191499044113i</v>
      </c>
      <c r="R371" s="4">
        <f t="shared" si="331"/>
        <v>284.193258415713</v>
      </c>
      <c r="S371" s="4">
        <f t="shared" si="332"/>
        <v>1.56727758722604</v>
      </c>
      <c r="T371" s="4" t="str">
        <f t="shared" si="321"/>
        <v>1+3,33830433729914i</v>
      </c>
      <c r="U371" s="4">
        <f t="shared" si="333"/>
        <v>3.48486382064353</v>
      </c>
      <c r="V371" s="4">
        <f t="shared" si="334"/>
        <v>1.27974942136642</v>
      </c>
      <c r="W371" t="str">
        <f t="shared" si="322"/>
        <v>1-1,58493757510659i</v>
      </c>
      <c r="X371" s="4">
        <f t="shared" si="335"/>
        <v>1.87404031893253</v>
      </c>
      <c r="Y371" s="4">
        <f t="shared" si="336"/>
        <v>-1.00793718134498</v>
      </c>
      <c r="Z371" t="str">
        <f t="shared" si="323"/>
        <v>0,990627317375536+2,71688452671981i</v>
      </c>
      <c r="AA371" s="4">
        <f t="shared" si="337"/>
        <v>2.89185131247445</v>
      </c>
      <c r="AB371" s="4">
        <f t="shared" si="338"/>
        <v>1.22115785188312</v>
      </c>
      <c r="AC371" s="67" t="str">
        <f t="shared" si="339"/>
        <v>-0,619038748968056-0,446598074730404i</v>
      </c>
      <c r="AD371" s="68">
        <f t="shared" si="340"/>
        <v>-2.3458568018623</v>
      </c>
      <c r="AE371" s="31">
        <f t="shared" si="341"/>
        <v>-144.191887932437</v>
      </c>
      <c r="AF371" s="32" t="str">
        <f t="shared" si="342"/>
        <v>236,914774604583</v>
      </c>
      <c r="AG371" s="32" t="str">
        <f t="shared" si="324"/>
        <v>1+70,1802616364022i</v>
      </c>
      <c r="AH371" s="32">
        <f t="shared" si="343"/>
        <v>70.1873857851528</v>
      </c>
      <c r="AI371" s="32">
        <f t="shared" si="344"/>
        <v>1.5565482703367</v>
      </c>
      <c r="AJ371" s="32" t="str">
        <f t="shared" si="325"/>
        <v>1+3,33830433729914i</v>
      </c>
      <c r="AK371" s="32">
        <f t="shared" si="345"/>
        <v>3.48486382064353</v>
      </c>
      <c r="AL371" s="32">
        <f t="shared" si="346"/>
        <v>1.27974942136642</v>
      </c>
      <c r="AM371" s="32" t="str">
        <f t="shared" si="326"/>
        <v>1-0,158687827971583i</v>
      </c>
      <c r="AN371" s="32">
        <f t="shared" si="347"/>
        <v>1.01251263041324</v>
      </c>
      <c r="AO371" s="32">
        <f t="shared" si="348"/>
        <v>-0.157375582020804</v>
      </c>
      <c r="AP371" s="30" t="str">
        <f t="shared" si="349"/>
        <v>10,8051505896886-5,01016676872311i</v>
      </c>
      <c r="AQ371" s="32">
        <f t="shared" si="350"/>
        <v>21.5183867901998</v>
      </c>
      <c r="AR371" s="31">
        <f t="shared" si="351"/>
        <v>-24.8763624682828</v>
      </c>
      <c r="AS371" t="str">
        <f t="shared" si="327"/>
        <v>-0,000272527472527473</v>
      </c>
      <c r="AT371" t="str">
        <f t="shared" si="328"/>
        <v>0,0478390934050456i</v>
      </c>
      <c r="AU371">
        <f t="shared" si="352"/>
        <v>0.0478390934050456</v>
      </c>
      <c r="AV371">
        <f t="shared" si="353"/>
        <v>1.5707963267949</v>
      </c>
      <c r="AW371" t="str">
        <f t="shared" si="329"/>
        <v>1+2,44927383674783i</v>
      </c>
      <c r="AX371">
        <f t="shared" si="354"/>
        <v>2.645551422176</v>
      </c>
      <c r="AY371">
        <f t="shared" si="355"/>
        <v>1.18316879408993</v>
      </c>
      <c r="AZ371" t="str">
        <f t="shared" si="330"/>
        <v>1+117,096134280263i</v>
      </c>
      <c r="BA371">
        <f t="shared" si="356"/>
        <v>117.100404198198</v>
      </c>
      <c r="BB371">
        <f t="shared" si="357"/>
        <v>1.56225654282402</v>
      </c>
      <c r="BC371" s="30" t="str">
        <f t="shared" si="358"/>
        <v>-0,0933162115769067+0,234253708009042i</v>
      </c>
      <c r="BD371" s="32">
        <f t="shared" si="359"/>
        <v>-11.9666093112416</v>
      </c>
      <c r="BE371" s="31">
        <f t="shared" si="360"/>
        <v>111.720128067579</v>
      </c>
      <c r="BF371" s="30" t="str">
        <f t="shared" si="361"/>
        <v>0,162383605868303-0,103337281915664i</v>
      </c>
      <c r="BG371" s="68">
        <f t="shared" si="362"/>
        <v>-14.3124661131039</v>
      </c>
      <c r="BH371" s="31">
        <f t="shared" si="363"/>
        <v>-32.4717598648582</v>
      </c>
      <c r="BI371" s="30" t="str">
        <f t="shared" si="369"/>
        <v>0,165354424769349+2,99867637345639i</v>
      </c>
      <c r="BJ371" s="68">
        <f t="shared" si="364"/>
        <v>9.5517774789582</v>
      </c>
      <c r="BK371" s="31">
        <f t="shared" si="370"/>
        <v>86.8437655992963</v>
      </c>
      <c r="BL371" s="32">
        <f t="shared" si="365"/>
        <v>-14.3124661131039</v>
      </c>
      <c r="BM371" s="31">
        <f t="shared" si="366"/>
        <v>-32.4717598648582</v>
      </c>
      <c r="BO371">
        <f t="shared" si="367"/>
        <v>0</v>
      </c>
      <c r="BP371">
        <f t="shared" si="368"/>
        <v>0</v>
      </c>
    </row>
    <row r="372" spans="14:68">
      <c r="N372" s="7">
        <v>54</v>
      </c>
      <c r="O372" s="18">
        <f t="shared" si="318"/>
        <v>34673.6850452532</v>
      </c>
      <c r="P372" s="86" t="str">
        <f t="shared" si="319"/>
        <v>96,0576923076923</v>
      </c>
      <c r="Q372" s="4" t="str">
        <f t="shared" si="320"/>
        <v>1+290,811169437602i</v>
      </c>
      <c r="R372" s="4">
        <f t="shared" si="331"/>
        <v>290.812888761254</v>
      </c>
      <c r="S372" s="4">
        <f t="shared" si="332"/>
        <v>1.56735768287862</v>
      </c>
      <c r="T372" s="4" t="str">
        <f t="shared" si="321"/>
        <v>1+3,41606343445864i</v>
      </c>
      <c r="U372" s="4">
        <f t="shared" si="333"/>
        <v>3.5594226200671</v>
      </c>
      <c r="V372" s="4">
        <f t="shared" si="334"/>
        <v>1.28601828303018</v>
      </c>
      <c r="W372" t="str">
        <f t="shared" si="322"/>
        <v>1-1,62185551380902i</v>
      </c>
      <c r="X372" s="4">
        <f t="shared" si="335"/>
        <v>1.90536487520704</v>
      </c>
      <c r="Y372" s="4">
        <f t="shared" si="336"/>
        <v>-1.01827640897513</v>
      </c>
      <c r="Z372" t="str">
        <f t="shared" si="323"/>
        <v>0,990185596452103+2,78016889702838i</v>
      </c>
      <c r="AA372" s="4">
        <f t="shared" si="337"/>
        <v>2.95123814888348</v>
      </c>
      <c r="AB372" s="4">
        <f t="shared" si="338"/>
        <v>1.22864412685478</v>
      </c>
      <c r="AC372" s="67" t="str">
        <f t="shared" si="339"/>
        <v>-0,62070343494324-0,43690766821839i</v>
      </c>
      <c r="AD372" s="68">
        <f t="shared" si="340"/>
        <v>-2.39456093431484</v>
      </c>
      <c r="AE372" s="31">
        <f t="shared" si="341"/>
        <v>-144.858623826386</v>
      </c>
      <c r="AF372" s="32" t="str">
        <f t="shared" si="342"/>
        <v>236,914774604583</v>
      </c>
      <c r="AG372" s="32" t="str">
        <f t="shared" si="324"/>
        <v>1+71,81496992896i</v>
      </c>
      <c r="AH372" s="32">
        <f t="shared" si="343"/>
        <v>71.8219319281891</v>
      </c>
      <c r="AI372" s="32">
        <f t="shared" si="344"/>
        <v>1.55687255329292</v>
      </c>
      <c r="AJ372" s="32" t="str">
        <f t="shared" si="325"/>
        <v>1+3,41606343445864i</v>
      </c>
      <c r="AK372" s="32">
        <f t="shared" si="345"/>
        <v>3.5594226200671</v>
      </c>
      <c r="AL372" s="32">
        <f t="shared" si="346"/>
        <v>1.28601828303018</v>
      </c>
      <c r="AM372" s="32" t="str">
        <f t="shared" si="326"/>
        <v>1-0,162384142323574i</v>
      </c>
      <c r="AN372" s="32">
        <f t="shared" si="347"/>
        <v>1.01309851923599</v>
      </c>
      <c r="AO372" s="32">
        <f t="shared" si="348"/>
        <v>-0.160979025449896</v>
      </c>
      <c r="AP372" s="30" t="str">
        <f t="shared" si="349"/>
        <v>10,8030847865069-4,97851295121787i</v>
      </c>
      <c r="AQ372" s="32">
        <f t="shared" si="350"/>
        <v>21.5073259785036</v>
      </c>
      <c r="AR372" s="31">
        <f t="shared" si="351"/>
        <v>-24.7422252975591</v>
      </c>
      <c r="AS372" t="str">
        <f t="shared" si="327"/>
        <v>-0,000272527472527473</v>
      </c>
      <c r="AT372" t="str">
        <f t="shared" si="328"/>
        <v>0,0489534090384475i</v>
      </c>
      <c r="AU372">
        <f t="shared" si="352"/>
        <v>0.0489534090384475</v>
      </c>
      <c r="AV372">
        <f t="shared" si="353"/>
        <v>1.5707963267949</v>
      </c>
      <c r="AW372" t="str">
        <f t="shared" si="329"/>
        <v>1+2,50632475332064i</v>
      </c>
      <c r="AX372">
        <f t="shared" si="354"/>
        <v>2.69845581196131</v>
      </c>
      <c r="AY372">
        <f t="shared" si="355"/>
        <v>1.19116043075536</v>
      </c>
      <c r="AZ372" t="str">
        <f t="shared" si="330"/>
        <v>1+119,823653632159i</v>
      </c>
      <c r="BA372">
        <f t="shared" si="356"/>
        <v>119.82782635832</v>
      </c>
      <c r="BB372">
        <f t="shared" si="357"/>
        <v>1.56245092290906</v>
      </c>
      <c r="BC372" s="30" t="str">
        <f t="shared" si="358"/>
        <v>-0,0896930706697752+0,230367041753021i</v>
      </c>
      <c r="BD372" s="32">
        <f t="shared" si="359"/>
        <v>-12.1386056322571</v>
      </c>
      <c r="BE372" s="31">
        <f t="shared" si="360"/>
        <v>111.273378173742</v>
      </c>
      <c r="BF372" s="30" t="str">
        <f t="shared" si="361"/>
        <v>0,156321924102017-0,103802023752134i</v>
      </c>
      <c r="BG372" s="68">
        <f t="shared" si="362"/>
        <v>-14.533166566572</v>
      </c>
      <c r="BH372" s="31">
        <f t="shared" si="363"/>
        <v>-33.585245652644</v>
      </c>
      <c r="BI372" s="30" t="str">
        <f t="shared" si="369"/>
        <v>0,177923453693426+2,93521279803864i</v>
      </c>
      <c r="BJ372" s="68">
        <f t="shared" si="364"/>
        <v>9.36872034624649</v>
      </c>
      <c r="BK372" s="31">
        <f t="shared" si="370"/>
        <v>86.5311528761833</v>
      </c>
      <c r="BL372" s="32">
        <f t="shared" si="365"/>
        <v>-14.533166566572</v>
      </c>
      <c r="BM372" s="31">
        <f t="shared" si="366"/>
        <v>-33.585245652644</v>
      </c>
      <c r="BO372">
        <f t="shared" si="367"/>
        <v>0</v>
      </c>
      <c r="BP372">
        <f t="shared" si="368"/>
        <v>0</v>
      </c>
    </row>
    <row r="373" spans="14:68">
      <c r="N373" s="7">
        <v>55</v>
      </c>
      <c r="O373" s="18">
        <f t="shared" si="318"/>
        <v>35481.3389233576</v>
      </c>
      <c r="P373" s="86" t="str">
        <f t="shared" si="319"/>
        <v>96,0576923076923</v>
      </c>
      <c r="Q373" s="4" t="str">
        <f t="shared" si="320"/>
        <v>1+297,58503176247i</v>
      </c>
      <c r="R373" s="4">
        <f t="shared" si="331"/>
        <v>297.586711949761</v>
      </c>
      <c r="S373" s="4">
        <f t="shared" si="332"/>
        <v>1.56743595537419</v>
      </c>
      <c r="T373" s="4" t="str">
        <f t="shared" si="321"/>
        <v>1+3,49563377366807i</v>
      </c>
      <c r="U373" s="4">
        <f t="shared" si="333"/>
        <v>3.63585691132213</v>
      </c>
      <c r="V373" s="4">
        <f t="shared" si="334"/>
        <v>1.29216676079026</v>
      </c>
      <c r="W373" t="str">
        <f t="shared" si="322"/>
        <v>1-1,65963338177268i</v>
      </c>
      <c r="X373" s="4">
        <f t="shared" si="335"/>
        <v>1.93762301851888</v>
      </c>
      <c r="Y373" s="4">
        <f t="shared" si="336"/>
        <v>-1.02850928196403</v>
      </c>
      <c r="Z373" t="str">
        <f t="shared" si="323"/>
        <v>0,989723057862905+2,84492734968607i</v>
      </c>
      <c r="AA373" s="4">
        <f t="shared" si="337"/>
        <v>3.01216921109311</v>
      </c>
      <c r="AB373" s="4">
        <f t="shared" si="338"/>
        <v>1.23600207339873</v>
      </c>
      <c r="AC373" s="67" t="str">
        <f t="shared" si="339"/>
        <v>-0,622309526646145-0,427402406754236i</v>
      </c>
      <c r="AD373" s="68">
        <f t="shared" si="340"/>
        <v>-2.44169365182803</v>
      </c>
      <c r="AE373" s="31">
        <f t="shared" si="341"/>
        <v>-145.51870640136</v>
      </c>
      <c r="AF373" s="32" t="str">
        <f t="shared" si="342"/>
        <v>236,914774604583</v>
      </c>
      <c r="AG373" s="32" t="str">
        <f t="shared" si="324"/>
        <v>1+73,4877554691581i</v>
      </c>
      <c r="AH373" s="32">
        <f t="shared" si="343"/>
        <v>73.4945590087782</v>
      </c>
      <c r="AI373" s="32">
        <f t="shared" si="344"/>
        <v>1.55718945749778</v>
      </c>
      <c r="AJ373" s="32" t="str">
        <f t="shared" si="325"/>
        <v>1+3,49563377366807i</v>
      </c>
      <c r="AK373" s="32">
        <f t="shared" si="345"/>
        <v>3.63585691132213</v>
      </c>
      <c r="AL373" s="32">
        <f t="shared" si="346"/>
        <v>1.29216676079026</v>
      </c>
      <c r="AM373" s="32" t="str">
        <f t="shared" si="326"/>
        <v>1-0,166166554897235i</v>
      </c>
      <c r="AN373" s="32">
        <f t="shared" si="347"/>
        <v>1.01371165721147</v>
      </c>
      <c r="AO373" s="32">
        <f t="shared" si="348"/>
        <v>-0.16466204275223</v>
      </c>
      <c r="AP373" s="30" t="str">
        <f t="shared" si="349"/>
        <v>10,8011119245465-4,94949621763719i</v>
      </c>
      <c r="AQ373" s="32">
        <f t="shared" si="350"/>
        <v>21.4971636184667</v>
      </c>
      <c r="AR373" s="31">
        <f t="shared" si="351"/>
        <v>-24.6191220922219</v>
      </c>
      <c r="AS373" t="str">
        <f t="shared" si="327"/>
        <v>-0,000272527472527473</v>
      </c>
      <c r="AT373" t="str">
        <f t="shared" si="328"/>
        <v>0,0500936804172967i</v>
      </c>
      <c r="AU373">
        <f t="shared" si="352"/>
        <v>0.0500936804172967</v>
      </c>
      <c r="AV373">
        <f t="shared" si="353"/>
        <v>1.5707963267949</v>
      </c>
      <c r="AW373" t="str">
        <f t="shared" si="329"/>
        <v>1+2,56470455645281i</v>
      </c>
      <c r="AX373">
        <f t="shared" si="354"/>
        <v>2.75276396770406</v>
      </c>
      <c r="AY373">
        <f t="shared" si="355"/>
        <v>1.19901971165754</v>
      </c>
      <c r="AZ373" t="str">
        <f t="shared" si="330"/>
        <v>1+122,614705071265i</v>
      </c>
      <c r="BA373">
        <f t="shared" si="356"/>
        <v>122.618782817778</v>
      </c>
      <c r="BB373">
        <f t="shared" si="357"/>
        <v>1.56264087897257</v>
      </c>
      <c r="BC373" s="30" t="str">
        <f t="shared" si="358"/>
        <v>-0,0861889448679444+0,226489535972158i</v>
      </c>
      <c r="BD373" s="32">
        <f t="shared" si="359"/>
        <v>-12.3116925292351</v>
      </c>
      <c r="BE373" s="31">
        <f t="shared" si="360"/>
        <v>110.833958228772</v>
      </c>
      <c r="BF373" s="30" t="str">
        <f t="shared" si="361"/>
        <v>0,150438374262052-0,104109233448971i</v>
      </c>
      <c r="BG373" s="68">
        <f t="shared" si="362"/>
        <v>-14.7533861810631</v>
      </c>
      <c r="BH373" s="31">
        <f t="shared" si="363"/>
        <v>-34.6847481725887</v>
      </c>
      <c r="BI373" s="30" t="str">
        <f t="shared" si="369"/>
        <v>0,190072661451363+2,87293068439991i</v>
      </c>
      <c r="BJ373" s="68">
        <f t="shared" si="364"/>
        <v>9.18547108923162</v>
      </c>
      <c r="BK373" s="31">
        <f t="shared" si="370"/>
        <v>86.2148361365498</v>
      </c>
      <c r="BL373" s="32">
        <f t="shared" si="365"/>
        <v>-14.7533861810631</v>
      </c>
      <c r="BM373" s="31">
        <f t="shared" si="366"/>
        <v>-34.6847481725887</v>
      </c>
      <c r="BO373">
        <f t="shared" si="367"/>
        <v>0</v>
      </c>
      <c r="BP373">
        <f t="shared" si="368"/>
        <v>0</v>
      </c>
    </row>
    <row r="374" spans="14:68">
      <c r="N374" s="7">
        <v>56</v>
      </c>
      <c r="O374" s="18">
        <f t="shared" si="318"/>
        <v>36307.8054770102</v>
      </c>
      <c r="P374" s="86" t="str">
        <f t="shared" si="319"/>
        <v>96,0576923076923</v>
      </c>
      <c r="Q374" s="4" t="str">
        <f t="shared" si="320"/>
        <v>1+304,516677610181i</v>
      </c>
      <c r="R374" s="4">
        <f t="shared" si="331"/>
        <v>304.518319551949</v>
      </c>
      <c r="S374" s="4">
        <f t="shared" si="332"/>
        <v>1.56751244621003</v>
      </c>
      <c r="T374" s="4" t="str">
        <f t="shared" si="321"/>
        <v>1+3,57705754417445i</v>
      </c>
      <c r="U374" s="4">
        <f t="shared" si="333"/>
        <v>3.71420794710465</v>
      </c>
      <c r="V374" s="4">
        <f t="shared" si="334"/>
        <v>1.29819625444887</v>
      </c>
      <c r="W374" t="str">
        <f t="shared" si="322"/>
        <v>1-1,69829120932319i</v>
      </c>
      <c r="X374" s="4">
        <f t="shared" si="335"/>
        <v>1.97083561761615</v>
      </c>
      <c r="Y374" s="4">
        <f t="shared" si="336"/>
        <v>-1.03863265346982</v>
      </c>
      <c r="Z374" t="str">
        <f t="shared" si="323"/>
        <v>0,98923872050158+2,91119422048161i</v>
      </c>
      <c r="AA374" s="4">
        <f t="shared" si="337"/>
        <v>3.07467803769844</v>
      </c>
      <c r="AB374" s="4">
        <f t="shared" si="338"/>
        <v>1.24323251078413</v>
      </c>
      <c r="AC374" s="67" t="str">
        <f t="shared" si="339"/>
        <v>-0,623858453734629-0,418079674835909i</v>
      </c>
      <c r="AD374" s="68">
        <f t="shared" si="340"/>
        <v>-2.48728608040855</v>
      </c>
      <c r="AE374" s="31">
        <f t="shared" si="341"/>
        <v>-146.171924472128</v>
      </c>
      <c r="AF374" s="32" t="str">
        <f t="shared" si="342"/>
        <v>236,914774604583</v>
      </c>
      <c r="AG374" s="32" t="str">
        <f t="shared" si="324"/>
        <v>1+75,1995051900311i</v>
      </c>
      <c r="AH374" s="32">
        <f t="shared" si="343"/>
        <v>75.2061538760327</v>
      </c>
      <c r="AI374" s="32">
        <f t="shared" si="344"/>
        <v>1.55749915072331</v>
      </c>
      <c r="AJ374" s="32" t="str">
        <f t="shared" si="325"/>
        <v>1+3,57705754417445i</v>
      </c>
      <c r="AK374" s="32">
        <f t="shared" si="345"/>
        <v>3.71420794710465</v>
      </c>
      <c r="AL374" s="32">
        <f t="shared" si="346"/>
        <v>1.29819625444887</v>
      </c>
      <c r="AM374" s="32" t="str">
        <f t="shared" si="326"/>
        <v>1-0,170037071177775i</v>
      </c>
      <c r="AN374" s="32">
        <f t="shared" si="347"/>
        <v>1.01435329425931</v>
      </c>
      <c r="AO374" s="32">
        <f t="shared" si="348"/>
        <v>-0.168426186840111</v>
      </c>
      <c r="AP374" s="30" t="str">
        <f t="shared" si="349"/>
        <v>10,7992278238629-4,92310135570222i</v>
      </c>
      <c r="AQ374" s="32">
        <f t="shared" si="350"/>
        <v>21.487884503767</v>
      </c>
      <c r="AR374" s="31">
        <f t="shared" si="351"/>
        <v>-24.5070712374644</v>
      </c>
      <c r="AS374" t="str">
        <f t="shared" si="327"/>
        <v>-0,000272527472527473</v>
      </c>
      <c r="AT374" t="str">
        <f t="shared" si="328"/>
        <v>0,0512605121285714i</v>
      </c>
      <c r="AU374">
        <f t="shared" si="352"/>
        <v>0.0512605121285714</v>
      </c>
      <c r="AV374">
        <f t="shared" si="353"/>
        <v>1.5707963267949</v>
      </c>
      <c r="AW374" t="str">
        <f t="shared" si="329"/>
        <v>1+2,62444419988867i</v>
      </c>
      <c r="AX374">
        <f t="shared" si="354"/>
        <v>2.80850625036322</v>
      </c>
      <c r="AY374">
        <f t="shared" si="355"/>
        <v>1.20674691922507</v>
      </c>
      <c r="AZ374" t="str">
        <f t="shared" si="330"/>
        <v>1+125,470768449997i</v>
      </c>
      <c r="BA374">
        <f t="shared" si="356"/>
        <v>125.474753378649</v>
      </c>
      <c r="BB374">
        <f t="shared" si="357"/>
        <v>1.5628265116769</v>
      </c>
      <c r="BC374" s="30" t="str">
        <f t="shared" si="358"/>
        <v>-0,0828015991676524+0,222624695400936i</v>
      </c>
      <c r="BD374" s="32">
        <f t="shared" si="359"/>
        <v>-12.4858339253227</v>
      </c>
      <c r="BE374" s="31">
        <f t="shared" si="360"/>
        <v>110.401857818228</v>
      </c>
      <c r="BF374" s="30" t="str">
        <f t="shared" si="361"/>
        <v>0,144731337887153-0,104268632580065i</v>
      </c>
      <c r="BG374" s="68">
        <f t="shared" si="362"/>
        <v>-14.9731200057313</v>
      </c>
      <c r="BH374" s="31">
        <f t="shared" si="363"/>
        <v>-35.7700666538993</v>
      </c>
      <c r="BI374" s="30" t="str">
        <f t="shared" si="369"/>
        <v>0,201810606149487+2,81181546996937i</v>
      </c>
      <c r="BJ374" s="68">
        <f t="shared" si="364"/>
        <v>9.00205057844427</v>
      </c>
      <c r="BK374" s="31">
        <f t="shared" si="370"/>
        <v>85.894786580764</v>
      </c>
      <c r="BL374" s="32">
        <f t="shared" si="365"/>
        <v>-14.9731200057313</v>
      </c>
      <c r="BM374" s="31">
        <f t="shared" si="366"/>
        <v>-35.7700666538993</v>
      </c>
      <c r="BO374">
        <f t="shared" si="367"/>
        <v>0</v>
      </c>
      <c r="BP374">
        <f t="shared" si="368"/>
        <v>0</v>
      </c>
    </row>
    <row r="375" spans="14:68">
      <c r="N375" s="7">
        <v>57</v>
      </c>
      <c r="O375" s="18">
        <f t="shared" si="318"/>
        <v>37153.5229097174</v>
      </c>
      <c r="P375" s="86" t="str">
        <f t="shared" si="319"/>
        <v>96,0576923076923</v>
      </c>
      <c r="Q375" s="4" t="str">
        <f t="shared" si="320"/>
        <v>1+311,609782231117i</v>
      </c>
      <c r="R375" s="4">
        <f t="shared" si="331"/>
        <v>311.611386797922</v>
      </c>
      <c r="S375" s="4">
        <f t="shared" si="332"/>
        <v>1.567587195939</v>
      </c>
      <c r="T375" s="4" t="str">
        <f t="shared" si="321"/>
        <v>1+3,66037791793874i</v>
      </c>
      <c r="U375" s="4">
        <f t="shared" si="333"/>
        <v>3.79451795385574</v>
      </c>
      <c r="V375" s="4">
        <f t="shared" si="334"/>
        <v>1.30410820662691</v>
      </c>
      <c r="W375" t="str">
        <f t="shared" si="322"/>
        <v>1-1,73784949335244i</v>
      </c>
      <c r="X375" s="4">
        <f t="shared" si="335"/>
        <v>2.00502390547977</v>
      </c>
      <c r="Y375" s="4">
        <f t="shared" si="336"/>
        <v>-1.04864359076465</v>
      </c>
      <c r="Z375" t="str">
        <f t="shared" si="323"/>
        <v>0,98873155702365+2,97900464498707i</v>
      </c>
      <c r="AA375" s="4">
        <f t="shared" si="337"/>
        <v>3.1387989369676</v>
      </c>
      <c r="AB375" s="4">
        <f t="shared" si="338"/>
        <v>1.2503363522156</v>
      </c>
      <c r="AC375" s="67" t="str">
        <f t="shared" si="339"/>
        <v>-0,625351661555506-0,40893685343578i</v>
      </c>
      <c r="AD375" s="68">
        <f t="shared" si="340"/>
        <v>-2.53137000052797</v>
      </c>
      <c r="AE375" s="31">
        <f t="shared" si="341"/>
        <v>-146.81808199595</v>
      </c>
      <c r="AF375" s="32" t="str">
        <f t="shared" si="342"/>
        <v>236,914774604583</v>
      </c>
      <c r="AG375" s="32" t="str">
        <f t="shared" si="324"/>
        <v>1+76,9511266839393i</v>
      </c>
      <c r="AH375" s="32">
        <f t="shared" si="343"/>
        <v>76.9576240402968</v>
      </c>
      <c r="AI375" s="32">
        <f t="shared" si="344"/>
        <v>1.55780179693521</v>
      </c>
      <c r="AJ375" s="32" t="str">
        <f t="shared" si="325"/>
        <v>1+3,66037791793874i</v>
      </c>
      <c r="AK375" s="32">
        <f t="shared" si="345"/>
        <v>3.79451795385574</v>
      </c>
      <c r="AL375" s="32">
        <f t="shared" si="346"/>
        <v>1.30410820662691</v>
      </c>
      <c r="AM375" s="32" t="str">
        <f t="shared" si="326"/>
        <v>1-0,173997743364162i</v>
      </c>
      <c r="AN375" s="32">
        <f t="shared" si="347"/>
        <v>1.01502473600195</v>
      </c>
      <c r="AO375" s="32">
        <f t="shared" si="348"/>
        <v>-0.172273026631034</v>
      </c>
      <c r="AP375" s="30" t="str">
        <f t="shared" si="349"/>
        <v>10,797428492368-4,89931453175994i</v>
      </c>
      <c r="AQ375" s="32">
        <f t="shared" si="350"/>
        <v>21.4794746476834</v>
      </c>
      <c r="AR375" s="31">
        <f t="shared" si="351"/>
        <v>-24.4060893640899</v>
      </c>
      <c r="AS375" t="str">
        <f t="shared" si="327"/>
        <v>-0,000272527472527473</v>
      </c>
      <c r="AT375" t="str">
        <f t="shared" si="328"/>
        <v>0,0524545228418898i</v>
      </c>
      <c r="AU375">
        <f t="shared" si="352"/>
        <v>0.0524545228418898</v>
      </c>
      <c r="AV375">
        <f t="shared" si="353"/>
        <v>1.5707963267949</v>
      </c>
      <c r="AW375" t="str">
        <f t="shared" si="329"/>
        <v>1+2,68557535837796i</v>
      </c>
      <c r="AX375">
        <f t="shared" si="354"/>
        <v>2.8657136991554</v>
      </c>
      <c r="AY375">
        <f t="shared" si="355"/>
        <v>1.21434245839153</v>
      </c>
      <c r="AZ375" t="str">
        <f t="shared" si="330"/>
        <v>1+128,393358090963i</v>
      </c>
      <c r="BA375">
        <f t="shared" si="356"/>
        <v>128.397252314348</v>
      </c>
      <c r="BB375">
        <f t="shared" si="357"/>
        <v>1.56300791939577</v>
      </c>
      <c r="BC375" s="30" t="str">
        <f t="shared" si="358"/>
        <v>-0,0795287056812328+0,218775832244101i</v>
      </c>
      <c r="BD375" s="32">
        <f t="shared" si="359"/>
        <v>-12.6609944413446</v>
      </c>
      <c r="BE375" s="31">
        <f t="shared" si="360"/>
        <v>109.977059377526</v>
      </c>
      <c r="BF375" s="30" t="str">
        <f t="shared" si="361"/>
        <v>0,139198908684814-0,104289611542934i</v>
      </c>
      <c r="BG375" s="68">
        <f t="shared" si="362"/>
        <v>-15.1923644418726</v>
      </c>
      <c r="BH375" s="31">
        <f t="shared" si="363"/>
        <v>-36.8410226184247</v>
      </c>
      <c r="BI375" s="30" t="str">
        <f t="shared" si="369"/>
        <v>0,213146101427707+2,7518525479501i</v>
      </c>
      <c r="BJ375" s="68">
        <f t="shared" si="364"/>
        <v>8.8184802063388</v>
      </c>
      <c r="BK375" s="31">
        <f t="shared" si="370"/>
        <v>85.570970013436</v>
      </c>
      <c r="BL375" s="32">
        <f t="shared" si="365"/>
        <v>-15.1923644418726</v>
      </c>
      <c r="BM375" s="31">
        <f t="shared" si="366"/>
        <v>-36.8410226184247</v>
      </c>
      <c r="BO375">
        <f t="shared" si="367"/>
        <v>0</v>
      </c>
      <c r="BP375">
        <f t="shared" si="368"/>
        <v>0</v>
      </c>
    </row>
    <row r="376" spans="14:68">
      <c r="N376" s="7">
        <v>58</v>
      </c>
      <c r="O376" s="18">
        <f t="shared" si="318"/>
        <v>38018.9396320561</v>
      </c>
      <c r="P376" s="86" t="str">
        <f t="shared" si="319"/>
        <v>96,0576923076923</v>
      </c>
      <c r="Q376" s="4" t="str">
        <f t="shared" si="320"/>
        <v>1+318,868106483233i</v>
      </c>
      <c r="R376" s="4">
        <f t="shared" si="331"/>
        <v>318.86967452582</v>
      </c>
      <c r="S376" s="4">
        <f t="shared" si="332"/>
        <v>1.56766024419106</v>
      </c>
      <c r="T376" s="4" t="str">
        <f t="shared" si="321"/>
        <v>1+3,74563907252591i</v>
      </c>
      <c r="U376" s="4">
        <f t="shared" si="333"/>
        <v>3.87683015640778</v>
      </c>
      <c r="V376" s="4">
        <f t="shared" si="334"/>
        <v>1.30990409822152</v>
      </c>
      <c r="W376" t="str">
        <f t="shared" si="322"/>
        <v>1-1,7783292081862i</v>
      </c>
      <c r="X376" s="4">
        <f t="shared" si="335"/>
        <v>2.04020949235321</v>
      </c>
      <c r="Y376" s="4">
        <f t="shared" si="336"/>
        <v>-1.05853937491401</v>
      </c>
      <c r="Z376" t="str">
        <f t="shared" si="323"/>
        <v>0,98820049166738+3,04839457718707i</v>
      </c>
      <c r="AA376" s="4">
        <f t="shared" si="337"/>
        <v>3.20456700818616</v>
      </c>
      <c r="AB376" s="4">
        <f t="shared" si="338"/>
        <v>1.25731459854638</v>
      </c>
      <c r="AC376" s="67" t="str">
        <f t="shared" si="339"/>
        <v>-0,626790606124636-0,399971320203448i</v>
      </c>
      <c r="AD376" s="68">
        <f t="shared" si="340"/>
        <v>-2.57397775786387</v>
      </c>
      <c r="AE376" s="31">
        <f t="shared" si="341"/>
        <v>-147.456997955495</v>
      </c>
      <c r="AF376" s="32" t="str">
        <f t="shared" si="342"/>
        <v>236,914774604583</v>
      </c>
      <c r="AG376" s="32" t="str">
        <f t="shared" si="324"/>
        <v>1+78,7435486837833i</v>
      </c>
      <c r="AH376" s="32">
        <f t="shared" si="343"/>
        <v>78.7498981543173</v>
      </c>
      <c r="AI376" s="32">
        <f t="shared" si="344"/>
        <v>1.55809755637861</v>
      </c>
      <c r="AJ376" s="32" t="str">
        <f t="shared" si="325"/>
        <v>1+3,74563907252591i</v>
      </c>
      <c r="AK376" s="32">
        <f t="shared" si="345"/>
        <v>3.87683015640778</v>
      </c>
      <c r="AL376" s="32">
        <f t="shared" si="346"/>
        <v>1.30990409822152</v>
      </c>
      <c r="AM376" s="32" t="str">
        <f t="shared" si="326"/>
        <v>1-0,178050671457211i</v>
      </c>
      <c r="AN376" s="32">
        <f t="shared" si="347"/>
        <v>1.01572734609558</v>
      </c>
      <c r="AO376" s="32">
        <f t="shared" si="348"/>
        <v>-0.176204146132755</v>
      </c>
      <c r="AP376" s="30" t="str">
        <f t="shared" si="349"/>
        <v>10,7957101173979-4,87812328421678i</v>
      </c>
      <c r="AQ376" s="32">
        <f t="shared" si="350"/>
        <v>21.4719212894092</v>
      </c>
      <c r="AR376" s="31">
        <f t="shared" si="351"/>
        <v>-24.3161915612714</v>
      </c>
      <c r="AS376" t="str">
        <f t="shared" si="327"/>
        <v>-0,000272527472527473</v>
      </c>
      <c r="AT376" t="str">
        <f t="shared" si="328"/>
        <v>0,0536763456375364i</v>
      </c>
      <c r="AU376">
        <f t="shared" si="352"/>
        <v>0.0536763456375364</v>
      </c>
      <c r="AV376">
        <f t="shared" si="353"/>
        <v>1.5707963267949</v>
      </c>
      <c r="AW376" t="str">
        <f t="shared" si="329"/>
        <v>1+2,74813044447003i</v>
      </c>
      <c r="AX376">
        <f t="shared" si="354"/>
        <v>2.92441805148016</v>
      </c>
      <c r="AY376">
        <f t="shared" si="355"/>
        <v>1.22180684978234</v>
      </c>
      <c r="AZ376" t="str">
        <f t="shared" si="330"/>
        <v>1+131,384023589876i</v>
      </c>
      <c r="BA376">
        <f t="shared" si="356"/>
        <v>131.387829172512</v>
      </c>
      <c r="BB376">
        <f t="shared" si="357"/>
        <v>1.56318519826615</v>
      </c>
      <c r="BC376" s="30" t="str">
        <f t="shared" si="358"/>
        <v>-0,0763678566809378+0,214946067888564i</v>
      </c>
      <c r="BD376" s="32">
        <f t="shared" si="359"/>
        <v>-12.8371394222909</v>
      </c>
      <c r="BE376" s="31">
        <f t="shared" si="360"/>
        <v>109.559538585268</v>
      </c>
      <c r="BF376" s="30" t="str">
        <f t="shared" si="361"/>
        <v>0,133838917723413-0,104181223718198i</v>
      </c>
      <c r="BG376" s="68">
        <f t="shared" si="362"/>
        <v>-15.4111171801548</v>
      </c>
      <c r="BH376" s="31">
        <f t="shared" si="363"/>
        <v>-37.8974593702264</v>
      </c>
      <c r="BI376" s="30" t="str">
        <f t="shared" si="369"/>
        <v>0,224088175603652+2,69302725964048i</v>
      </c>
      <c r="BJ376" s="68">
        <f t="shared" si="364"/>
        <v>8.63478186711828</v>
      </c>
      <c r="BK376" s="31">
        <f t="shared" si="370"/>
        <v>85.243347023997</v>
      </c>
      <c r="BL376" s="32">
        <f t="shared" si="365"/>
        <v>-15.4111171801548</v>
      </c>
      <c r="BM376" s="31">
        <f t="shared" si="366"/>
        <v>-37.8974593702264</v>
      </c>
      <c r="BO376">
        <f t="shared" si="367"/>
        <v>0</v>
      </c>
      <c r="BP376">
        <f t="shared" si="368"/>
        <v>0</v>
      </c>
    </row>
    <row r="377" spans="14:68">
      <c r="N377" s="7">
        <v>59</v>
      </c>
      <c r="O377" s="18">
        <f t="shared" si="318"/>
        <v>38904.5144994281</v>
      </c>
      <c r="P377" s="86" t="str">
        <f t="shared" si="319"/>
        <v>96,0576923076923</v>
      </c>
      <c r="Q377" s="4" t="str">
        <f t="shared" si="320"/>
        <v>1+326,295498826125i</v>
      </c>
      <c r="R377" s="4">
        <f t="shared" si="331"/>
        <v>326.297031175875</v>
      </c>
      <c r="S377" s="4">
        <f t="shared" si="332"/>
        <v>1.56773162969424</v>
      </c>
      <c r="T377" s="4" t="str">
        <f t="shared" si="321"/>
        <v>1+3,83288621452875i</v>
      </c>
      <c r="U377" s="4">
        <f t="shared" si="333"/>
        <v>3.96118880306462</v>
      </c>
      <c r="V377" s="4">
        <f t="shared" si="334"/>
        <v>1.31558544407675</v>
      </c>
      <c r="W377" t="str">
        <f t="shared" si="322"/>
        <v>1-1,81975181670512i</v>
      </c>
      <c r="X377" s="4">
        <f t="shared" si="335"/>
        <v>2.07641437926094</v>
      </c>
      <c r="Y377" s="4">
        <f t="shared" si="336"/>
        <v>-1.06831749965757</v>
      </c>
      <c r="Z377" t="str">
        <f t="shared" si="323"/>
        <v>0,987644397971949+3,11940080854219i</v>
      </c>
      <c r="AA377" s="4">
        <f t="shared" si="337"/>
        <v>3.27201816333269</v>
      </c>
      <c r="AB377" s="4">
        <f t="shared" si="338"/>
        <v>1.26416833215496</v>
      </c>
      <c r="AC377" s="67" t="str">
        <f t="shared" si="339"/>
        <v>-0,628176749446328-0,391180449923146i</v>
      </c>
      <c r="AD377" s="68">
        <f t="shared" si="340"/>
        <v>-2.6151421751266</v>
      </c>
      <c r="AE377" s="31">
        <f t="shared" si="341"/>
        <v>-148.088506193124</v>
      </c>
      <c r="AF377" s="32" t="str">
        <f t="shared" si="342"/>
        <v>236,914774604583</v>
      </c>
      <c r="AG377" s="32" t="str">
        <f t="shared" si="324"/>
        <v>1+80,5777215554339i</v>
      </c>
      <c r="AH377" s="32">
        <f t="shared" si="343"/>
        <v>80.5839265056316</v>
      </c>
      <c r="AI377" s="32">
        <f t="shared" si="344"/>
        <v>1.558386585662</v>
      </c>
      <c r="AJ377" s="32" t="str">
        <f t="shared" si="325"/>
        <v>1+3,83288621452875i</v>
      </c>
      <c r="AK377" s="32">
        <f t="shared" si="345"/>
        <v>3.96118880306462</v>
      </c>
      <c r="AL377" s="32">
        <f t="shared" si="346"/>
        <v>1.31558544407675</v>
      </c>
      <c r="AM377" s="32" t="str">
        <f t="shared" si="326"/>
        <v>1-0,182198004373047i</v>
      </c>
      <c r="AN377" s="32">
        <f t="shared" si="347"/>
        <v>1.01646254864482</v>
      </c>
      <c r="AO377" s="32">
        <f t="shared" si="348"/>
        <v>-0.180221143432498</v>
      </c>
      <c r="AP377" s="30" t="str">
        <f t="shared" si="349"/>
        <v>10,7940690576605-4,85951651764876i</v>
      </c>
      <c r="AQ377" s="32">
        <f t="shared" si="350"/>
        <v>21.465212899341</v>
      </c>
      <c r="AR377" s="31">
        <f t="shared" si="351"/>
        <v>-24.2373915714975</v>
      </c>
      <c r="AS377" t="str">
        <f t="shared" si="327"/>
        <v>-0,000272527472527473</v>
      </c>
      <c r="AT377" t="str">
        <f t="shared" si="328"/>
        <v>0,0549266283421307i</v>
      </c>
      <c r="AU377">
        <f t="shared" si="352"/>
        <v>0.0549266283421307</v>
      </c>
      <c r="AV377">
        <f t="shared" si="353"/>
        <v>1.5707963267949</v>
      </c>
      <c r="AW377" t="str">
        <f t="shared" si="329"/>
        <v>1+2,81214262569958i</v>
      </c>
      <c r="AX377">
        <f t="shared" si="354"/>
        <v>2.98465176315036</v>
      </c>
      <c r="AY377">
        <f t="shared" si="355"/>
        <v>1.22914072297639</v>
      </c>
      <c r="AZ377" t="str">
        <f t="shared" si="330"/>
        <v>1+134,444350637169i</v>
      </c>
      <c r="BA377">
        <f t="shared" si="356"/>
        <v>134.448069596592</v>
      </c>
      <c r="BB377">
        <f t="shared" si="357"/>
        <v>1.56335844223906</v>
      </c>
      <c r="BC377" s="30" t="str">
        <f t="shared" si="358"/>
        <v>-0,0733165770114581+0,21113833534864i</v>
      </c>
      <c r="BD377" s="32">
        <f t="shared" si="359"/>
        <v>-13.0142349599062</v>
      </c>
      <c r="BE377" s="31">
        <f t="shared" si="360"/>
        <v>109.149264752239</v>
      </c>
      <c r="BF377" s="30" t="str">
        <f t="shared" si="361"/>
        <v>0,128648958045294-0,10395218160065i</v>
      </c>
      <c r="BG377" s="68">
        <f t="shared" si="362"/>
        <v>-15.6293771350329</v>
      </c>
      <c r="BH377" s="31">
        <f t="shared" si="363"/>
        <v>-38.9392414408849</v>
      </c>
      <c r="BI377" s="30" t="str">
        <f t="shared" si="369"/>
        <v>0,234646032802616+2,63532488947735i</v>
      </c>
      <c r="BJ377" s="68">
        <f t="shared" si="364"/>
        <v>8.45097793943481</v>
      </c>
      <c r="BK377" s="31">
        <f t="shared" si="370"/>
        <v>84.9118731807418</v>
      </c>
      <c r="BL377" s="32">
        <f t="shared" si="365"/>
        <v>-15.6293771350329</v>
      </c>
      <c r="BM377" s="31">
        <f t="shared" si="366"/>
        <v>-38.9392414408849</v>
      </c>
      <c r="BO377">
        <f t="shared" si="367"/>
        <v>0</v>
      </c>
      <c r="BP377">
        <f t="shared" si="368"/>
        <v>0</v>
      </c>
    </row>
    <row r="378" spans="14:68">
      <c r="N378" s="7">
        <v>60</v>
      </c>
      <c r="O378" s="18">
        <f t="shared" si="318"/>
        <v>39810.7170553497</v>
      </c>
      <c r="P378" s="86" t="str">
        <f t="shared" si="319"/>
        <v>96,0576923076923</v>
      </c>
      <c r="Q378" s="4" t="str">
        <f t="shared" si="320"/>
        <v>1+333,895897361526i</v>
      </c>
      <c r="R378" s="4">
        <f t="shared" si="331"/>
        <v>333.897394830895</v>
      </c>
      <c r="S378" s="4">
        <f t="shared" si="332"/>
        <v>1.56780139029517</v>
      </c>
      <c r="T378" s="4" t="str">
        <f t="shared" si="321"/>
        <v>1+3,92216560353677i</v>
      </c>
      <c r="U378" s="4">
        <f t="shared" si="333"/>
        <v>4.04763919112944</v>
      </c>
      <c r="V378" s="4">
        <f t="shared" si="334"/>
        <v>1.32115378886569</v>
      </c>
      <c r="W378" t="str">
        <f t="shared" si="322"/>
        <v>1-1,86213928172452i</v>
      </c>
      <c r="X378" s="4">
        <f t="shared" si="335"/>
        <v>2.11366097199658</v>
      </c>
      <c r="Y378" s="4">
        <f t="shared" si="336"/>
        <v>-1.07797566953969</v>
      </c>
      <c r="Z378" t="str">
        <f t="shared" si="323"/>
        <v>0,987062096388073+3,19206098749613i</v>
      </c>
      <c r="AA378" s="4">
        <f t="shared" si="337"/>
        <v>3.3411891490936</v>
      </c>
      <c r="AB378" s="4">
        <f t="shared" si="338"/>
        <v>1.27089871099808</v>
      </c>
      <c r="AC378" s="67" t="str">
        <f t="shared" si="339"/>
        <v>-0,629511555169091-0,382561615191225i</v>
      </c>
      <c r="AD378" s="68">
        <f t="shared" si="340"/>
        <v>-2.6548964654767</v>
      </c>
      <c r="AE378" s="31">
        <f t="shared" si="341"/>
        <v>-148.712455200154</v>
      </c>
      <c r="AF378" s="32" t="str">
        <f t="shared" si="342"/>
        <v>236,914774604583</v>
      </c>
      <c r="AG378" s="32" t="str">
        <f t="shared" si="324"/>
        <v>1+82,4546178016251i</v>
      </c>
      <c r="AH378" s="32">
        <f t="shared" si="343"/>
        <v>82.4606815204196</v>
      </c>
      <c r="AI378" s="32">
        <f t="shared" si="344"/>
        <v>1.55866903783926</v>
      </c>
      <c r="AJ378" s="32" t="str">
        <f t="shared" si="325"/>
        <v>1+3,92216560353677i</v>
      </c>
      <c r="AK378" s="32">
        <f t="shared" si="345"/>
        <v>4.04763919112944</v>
      </c>
      <c r="AL378" s="32">
        <f t="shared" si="346"/>
        <v>1.32115378886569</v>
      </c>
      <c r="AM378" s="32" t="str">
        <f t="shared" si="326"/>
        <v>1-0,186441941082477i</v>
      </c>
      <c r="AN378" s="32">
        <f t="shared" si="347"/>
        <v>1.01723183070262</v>
      </c>
      <c r="AO378" s="32">
        <f t="shared" si="348"/>
        <v>-0.184325629584625</v>
      </c>
      <c r="AP378" s="30" t="str">
        <f t="shared" si="349"/>
        <v>10,792501835542-4,84348449758789i</v>
      </c>
      <c r="AQ378" s="32">
        <f t="shared" si="350"/>
        <v>21.4593391834708</v>
      </c>
      <c r="AR378" s="31">
        <f t="shared" si="351"/>
        <v>-24.1697019674755</v>
      </c>
      <c r="AS378" t="str">
        <f t="shared" si="327"/>
        <v>-0,000272527472527473</v>
      </c>
      <c r="AT378" t="str">
        <f t="shared" si="328"/>
        <v>0,0562060338721117i</v>
      </c>
      <c r="AU378">
        <f t="shared" si="352"/>
        <v>0.0562060338721117</v>
      </c>
      <c r="AV378">
        <f t="shared" si="353"/>
        <v>1.5707963267949</v>
      </c>
      <c r="AW378" t="str">
        <f t="shared" si="329"/>
        <v>1+2,87764584217237i</v>
      </c>
      <c r="AX378">
        <f t="shared" si="354"/>
        <v>3.04644802893007</v>
      </c>
      <c r="AY378">
        <f t="shared" si="355"/>
        <v>1.23634480986678</v>
      </c>
      <c r="AZ378" t="str">
        <f t="shared" si="330"/>
        <v>1+137,575961858751i</v>
      </c>
      <c r="BA378">
        <f t="shared" si="356"/>
        <v>137.579596166585</v>
      </c>
      <c r="BB378">
        <f t="shared" si="357"/>
        <v>1.56352774312913</v>
      </c>
      <c r="BC378" s="30" t="str">
        <f t="shared" si="358"/>
        <v>-0,0703723358495156+0,207355382365138i</v>
      </c>
      <c r="BD378" s="32">
        <f t="shared" si="359"/>
        <v>-13.1922479115727</v>
      </c>
      <c r="BE378" s="31">
        <f t="shared" si="360"/>
        <v>108.746201204643</v>
      </c>
      <c r="BF378" s="30" t="str">
        <f t="shared" si="361"/>
        <v>0,123626408577711-0,103610854757989i</v>
      </c>
      <c r="BG378" s="68">
        <f t="shared" si="362"/>
        <v>-15.8471443770494</v>
      </c>
      <c r="BH378" s="31">
        <f t="shared" si="363"/>
        <v>-39.9662539955106</v>
      </c>
      <c r="BI378" s="30" t="str">
        <f t="shared" si="369"/>
        <v>0,24482901614968+2,57873066253144i</v>
      </c>
      <c r="BJ378" s="68">
        <f t="shared" si="364"/>
        <v>8.26709127189812</v>
      </c>
      <c r="BK378" s="31">
        <f t="shared" si="370"/>
        <v>84.5764992371679</v>
      </c>
      <c r="BL378" s="32">
        <f t="shared" si="365"/>
        <v>-15.8471443770494</v>
      </c>
      <c r="BM378" s="31">
        <f t="shared" si="366"/>
        <v>-39.9662539955106</v>
      </c>
      <c r="BO378">
        <f t="shared" si="367"/>
        <v>0</v>
      </c>
      <c r="BP378">
        <f t="shared" si="368"/>
        <v>0</v>
      </c>
    </row>
    <row r="379" spans="14:68">
      <c r="N379" s="7">
        <v>61</v>
      </c>
      <c r="O379" s="18">
        <f t="shared" si="318"/>
        <v>40738.0277804114</v>
      </c>
      <c r="P379" s="86" t="str">
        <f t="shared" si="319"/>
        <v>96,0576923076923</v>
      </c>
      <c r="Q379" s="4" t="str">
        <f t="shared" si="320"/>
        <v>1+341,673331921345i</v>
      </c>
      <c r="R379" s="4">
        <f t="shared" si="331"/>
        <v>341.674795304298</v>
      </c>
      <c r="S379" s="4">
        <f t="shared" si="332"/>
        <v>1.56786956297912</v>
      </c>
      <c r="T379" s="4" t="str">
        <f t="shared" si="321"/>
        <v>1+4,01352457666381i</v>
      </c>
      <c r="U379" s="4">
        <f t="shared" si="333"/>
        <v>4.13622769289656</v>
      </c>
      <c r="V379" s="4">
        <f t="shared" si="334"/>
        <v>1.32661070318178</v>
      </c>
      <c r="W379" t="str">
        <f t="shared" si="322"/>
        <v>1-1,90551407763942i</v>
      </c>
      <c r="X379" s="4">
        <f t="shared" si="335"/>
        <v>2.15197209556305</v>
      </c>
      <c r="Y379" s="4">
        <f t="shared" si="336"/>
        <v>-1.08751179734043</v>
      </c>
      <c r="Z379" t="str">
        <f t="shared" si="323"/>
        <v>0,98645235177602+3,26641363943759i</v>
      </c>
      <c r="AA379" s="4">
        <f t="shared" si="337"/>
        <v>3.41211756922712</v>
      </c>
      <c r="AB379" s="4">
        <f t="shared" si="338"/>
        <v>1.27750696285104</v>
      </c>
      <c r="AC379" s="67" t="str">
        <f t="shared" si="339"/>
        <v>-0,630796484572573-0,374112187281294i</v>
      </c>
      <c r="AD379" s="68">
        <f t="shared" si="340"/>
        <v>-2.69327414799022</v>
      </c>
      <c r="AE379" s="31">
        <f t="shared" si="341"/>
        <v>-149.32870786476</v>
      </c>
      <c r="AF379" s="32" t="str">
        <f t="shared" si="342"/>
        <v>236,914774604583</v>
      </c>
      <c r="AG379" s="32" t="str">
        <f t="shared" si="324"/>
        <v>1+84,3752325775913i</v>
      </c>
      <c r="AH379" s="32">
        <f t="shared" si="343"/>
        <v>84.3811582791006</v>
      </c>
      <c r="AI379" s="32">
        <f t="shared" si="344"/>
        <v>1.55894506248989</v>
      </c>
      <c r="AJ379" s="32" t="str">
        <f t="shared" si="325"/>
        <v>1+4,01352457666381i</v>
      </c>
      <c r="AK379" s="32">
        <f t="shared" si="345"/>
        <v>4.13622769289656</v>
      </c>
      <c r="AL379" s="32">
        <f t="shared" si="346"/>
        <v>1.32661070318178</v>
      </c>
      <c r="AM379" s="32" t="str">
        <f t="shared" si="326"/>
        <v>1-0,190784731776921i</v>
      </c>
      <c r="AN379" s="32">
        <f t="shared" si="347"/>
        <v>1.01803674485708</v>
      </c>
      <c r="AO379" s="32">
        <f t="shared" si="348"/>
        <v>-0.188519227390983</v>
      </c>
      <c r="AP379" s="30" t="str">
        <f t="shared" si="349"/>
        <v>10,7910051297581-4,83001884598583i</v>
      </c>
      <c r="AQ379" s="32">
        <f t="shared" si="350"/>
        <v>21.4542910870007</v>
      </c>
      <c r="AR379" s="31">
        <f t="shared" si="351"/>
        <v>-24.1131343108012</v>
      </c>
      <c r="AS379" t="str">
        <f t="shared" si="327"/>
        <v>-0,000272527472527473</v>
      </c>
      <c r="AT379" t="str">
        <f t="shared" si="328"/>
        <v>0,0575152405852268i</v>
      </c>
      <c r="AU379">
        <f t="shared" si="352"/>
        <v>0.0575152405852268</v>
      </c>
      <c r="AV379">
        <f t="shared" si="353"/>
        <v>1.5707963267949</v>
      </c>
      <c r="AW379" t="str">
        <f t="shared" si="329"/>
        <v>1+2,94467482456085i</v>
      </c>
      <c r="AX379">
        <f t="shared" si="354"/>
        <v>3.10984080338568</v>
      </c>
      <c r="AY379">
        <f t="shared" si="355"/>
        <v>1.24341993814238</v>
      </c>
      <c r="AZ379" t="str">
        <f t="shared" si="330"/>
        <v>1+140,780517676345i</v>
      </c>
      <c r="BA379">
        <f t="shared" si="356"/>
        <v>140.784069259344</v>
      </c>
      <c r="BB379">
        <f t="shared" si="357"/>
        <v>1.56369319066308</v>
      </c>
      <c r="BC379" s="30" t="str">
        <f t="shared" si="358"/>
        <v>-0,0675325577963371+0,203599775081343i</v>
      </c>
      <c r="BD379" s="32">
        <f t="shared" si="359"/>
        <v>-13.3711459156924</v>
      </c>
      <c r="BE379" s="31">
        <f t="shared" si="360"/>
        <v>108.350305660364</v>
      </c>
      <c r="BF379" s="30" t="str">
        <f t="shared" si="361"/>
        <v>0,118768457237784-0,10316526947119i</v>
      </c>
      <c r="BG379" s="68">
        <f t="shared" si="362"/>
        <v>-16.0644200636826</v>
      </c>
      <c r="BH379" s="31">
        <f t="shared" si="363"/>
        <v>-40.9784022043965</v>
      </c>
      <c r="BI379" s="30" t="str">
        <f t="shared" si="369"/>
        <v>0,254646573075404+2,5232297441943i</v>
      </c>
      <c r="BJ379" s="68">
        <f t="shared" si="364"/>
        <v>8.08314517130826</v>
      </c>
      <c r="BK379" s="31">
        <f t="shared" si="370"/>
        <v>84.2371713495624</v>
      </c>
      <c r="BL379" s="32">
        <f t="shared" si="365"/>
        <v>-16.0644200636826</v>
      </c>
      <c r="BM379" s="31">
        <f t="shared" si="366"/>
        <v>-40.9784022043965</v>
      </c>
      <c r="BO379">
        <f t="shared" si="367"/>
        <v>0</v>
      </c>
      <c r="BP379">
        <f t="shared" si="368"/>
        <v>0</v>
      </c>
    </row>
    <row r="380" spans="14:68">
      <c r="N380" s="7">
        <v>62</v>
      </c>
      <c r="O380" s="18">
        <f t="shared" si="318"/>
        <v>41686.9383470336</v>
      </c>
      <c r="P380" s="86" t="str">
        <f t="shared" si="319"/>
        <v>96,0576923076923</v>
      </c>
      <c r="Q380" s="4" t="str">
        <f t="shared" si="320"/>
        <v>1+349,631926204328i</v>
      </c>
      <c r="R380" s="4">
        <f t="shared" si="331"/>
        <v>349.633356276756</v>
      </c>
      <c r="S380" s="4">
        <f t="shared" si="332"/>
        <v>1.56793618388962</v>
      </c>
      <c r="T380" s="4" t="str">
        <f t="shared" si="321"/>
        <v>1+4,10701157364665i</v>
      </c>
      <c r="U380" s="4">
        <f t="shared" si="333"/>
        <v>4.22700178212259</v>
      </c>
      <c r="V380" s="4">
        <f t="shared" si="334"/>
        <v>1.33195777983591</v>
      </c>
      <c r="W380" t="str">
        <f t="shared" si="322"/>
        <v>1-1,94989920234074i</v>
      </c>
      <c r="X380" s="4">
        <f t="shared" si="335"/>
        <v>2.1913710090464</v>
      </c>
      <c r="Y380" s="4">
        <f t="shared" si="336"/>
        <v>-1.0969240008603</v>
      </c>
      <c r="Z380" t="str">
        <f t="shared" si="323"/>
        <v>0,985813870785719+3,34249818712675i</v>
      </c>
      <c r="AA380" s="4">
        <f t="shared" si="337"/>
        <v>3.48484190728634</v>
      </c>
      <c r="AB380" s="4">
        <f t="shared" si="338"/>
        <v>1.28399437974408</v>
      </c>
      <c r="AC380" s="67" t="str">
        <f t="shared" si="339"/>
        <v>-0,632032992878468-0,365829537166958i</v>
      </c>
      <c r="AD380" s="68">
        <f t="shared" si="340"/>
        <v>-2.73030896558001</v>
      </c>
      <c r="AE380" s="31">
        <f t="shared" si="341"/>
        <v>-149.937141182264</v>
      </c>
      <c r="AF380" s="32" t="str">
        <f t="shared" si="342"/>
        <v>236,914774604583</v>
      </c>
      <c r="AG380" s="32" t="str">
        <f t="shared" si="324"/>
        <v>1+86,3405842187078i</v>
      </c>
      <c r="AH380" s="32">
        <f t="shared" si="343"/>
        <v>86.3463750439344</v>
      </c>
      <c r="AI380" s="32">
        <f t="shared" si="344"/>
        <v>1.55921480579749</v>
      </c>
      <c r="AJ380" s="32" t="str">
        <f t="shared" si="325"/>
        <v>1+4,10701157364665i</v>
      </c>
      <c r="AK380" s="32">
        <f t="shared" si="345"/>
        <v>4.22700178212259</v>
      </c>
      <c r="AL380" s="32">
        <f t="shared" si="346"/>
        <v>1.33195777983591</v>
      </c>
      <c r="AM380" s="32" t="str">
        <f t="shared" si="326"/>
        <v>1-0,195228679061486i</v>
      </c>
      <c r="AN380" s="32">
        <f t="shared" si="347"/>
        <v>1.01887891190666</v>
      </c>
      <c r="AO380" s="32">
        <f t="shared" si="348"/>
        <v>-0.192803570067907</v>
      </c>
      <c r="AP380" s="30" t="str">
        <f t="shared" si="349"/>
        <v>10,7895757683351-4,81911253735488i</v>
      </c>
      <c r="AQ380" s="32">
        <f t="shared" si="350"/>
        <v>21.4500607972885</v>
      </c>
      <c r="AR380" s="31">
        <f t="shared" si="351"/>
        <v>-24.0676992922394</v>
      </c>
      <c r="AS380" t="str">
        <f t="shared" si="327"/>
        <v>-0,000272527472527473</v>
      </c>
      <c r="AT380" t="str">
        <f t="shared" si="328"/>
        <v>0,0588549426402041i</v>
      </c>
      <c r="AU380">
        <f t="shared" si="352"/>
        <v>0.0588549426402041</v>
      </c>
      <c r="AV380">
        <f t="shared" si="353"/>
        <v>1.5707963267949</v>
      </c>
      <c r="AW380" t="str">
        <f t="shared" si="329"/>
        <v>1+3,01326511251867i</v>
      </c>
      <c r="AX380">
        <f t="shared" si="354"/>
        <v>3.17486482205497</v>
      </c>
      <c r="AY380">
        <f t="shared" si="355"/>
        <v>1.25036702490925</v>
      </c>
      <c r="AZ380" t="str">
        <f t="shared" si="330"/>
        <v>1+144,05971718786i</v>
      </c>
      <c r="BA380">
        <f t="shared" si="356"/>
        <v>144.06318792893</v>
      </c>
      <c r="BB380">
        <f t="shared" si="357"/>
        <v>1.56385487252714</v>
      </c>
      <c r="BC380" s="30" t="str">
        <f t="shared" si="358"/>
        <v>-0,0647946332956808+0,199873902222139i</v>
      </c>
      <c r="BD380" s="32">
        <f t="shared" si="359"/>
        <v>-13.5508974037741</v>
      </c>
      <c r="BE380" s="31">
        <f t="shared" si="360"/>
        <v>107.961530597145</v>
      </c>
      <c r="BF380" s="30" t="str">
        <f t="shared" si="361"/>
        <v>0,114072123146011-0,102623109910295i</v>
      </c>
      <c r="BG380" s="68">
        <f t="shared" si="362"/>
        <v>-16.2812063693541</v>
      </c>
      <c r="BH380" s="31">
        <f t="shared" si="363"/>
        <v>-41.9756105851188</v>
      </c>
      <c r="BI380" s="30" t="str">
        <f t="shared" si="369"/>
        <v>0,264108222763517+2,4688072418071i</v>
      </c>
      <c r="BJ380" s="68">
        <f t="shared" si="364"/>
        <v>7.89916339351448</v>
      </c>
      <c r="BK380" s="31">
        <f t="shared" si="370"/>
        <v>83.8938313049056</v>
      </c>
      <c r="BL380" s="32">
        <f t="shared" si="365"/>
        <v>-16.2812063693541</v>
      </c>
      <c r="BM380" s="31">
        <f t="shared" si="366"/>
        <v>-41.9756105851188</v>
      </c>
      <c r="BO380">
        <f t="shared" si="367"/>
        <v>0</v>
      </c>
      <c r="BP380">
        <f t="shared" si="368"/>
        <v>0</v>
      </c>
    </row>
    <row r="381" spans="14:68">
      <c r="N381" s="7">
        <v>63</v>
      </c>
      <c r="O381" s="18">
        <f t="shared" si="318"/>
        <v>42657.9518801593</v>
      </c>
      <c r="P381" s="86" t="str">
        <f t="shared" si="319"/>
        <v>96,0576923076923</v>
      </c>
      <c r="Q381" s="4" t="str">
        <f t="shared" si="320"/>
        <v>1+357,775899962511i</v>
      </c>
      <c r="R381" s="4">
        <f t="shared" si="331"/>
        <v>357.777297482644</v>
      </c>
      <c r="S381" s="4">
        <f t="shared" si="332"/>
        <v>1.56800128834758</v>
      </c>
      <c r="T381" s="4" t="str">
        <f t="shared" si="321"/>
        <v>1+4,20267616252857i</v>
      </c>
      <c r="U381" s="4">
        <f t="shared" si="333"/>
        <v>4.32001006099359</v>
      </c>
      <c r="V381" s="4">
        <f t="shared" si="334"/>
        <v>1.33719663035529</v>
      </c>
      <c r="W381" t="str">
        <f t="shared" si="322"/>
        <v>1-1,99531818940911i</v>
      </c>
      <c r="X381" s="4">
        <f t="shared" si="335"/>
        <v>2.23188142090633</v>
      </c>
      <c r="Y381" s="4">
        <f t="shared" si="336"/>
        <v>-1.10621059911301</v>
      </c>
      <c r="Z381" t="str">
        <f t="shared" si="323"/>
        <v>0,985145299113388+3,42035497159793i</v>
      </c>
      <c r="AA381" s="4">
        <f t="shared" si="337"/>
        <v>3.55940154971308</v>
      </c>
      <c r="AB381" s="4">
        <f t="shared" si="338"/>
        <v>1.29036231260158</v>
      </c>
      <c r="AC381" s="67" t="str">
        <f t="shared" si="339"/>
        <v>-0,633222525876398-0,357711036674131i</v>
      </c>
      <c r="AD381" s="68">
        <f t="shared" si="340"/>
        <v>-2.76603480573388</v>
      </c>
      <c r="AE381" s="31">
        <f t="shared" si="341"/>
        <v>-150.537645931544</v>
      </c>
      <c r="AF381" s="32" t="str">
        <f t="shared" si="342"/>
        <v>236,914774604583</v>
      </c>
      <c r="AG381" s="32" t="str">
        <f t="shared" si="324"/>
        <v>1+88,35171478043i</v>
      </c>
      <c r="AH381" s="32">
        <f t="shared" si="343"/>
        <v>88.3573737989221</v>
      </c>
      <c r="AI381" s="32">
        <f t="shared" si="344"/>
        <v>1.55947841062641</v>
      </c>
      <c r="AJ381" s="32" t="str">
        <f t="shared" si="325"/>
        <v>1+4,20267616252857i</v>
      </c>
      <c r="AK381" s="32">
        <f t="shared" si="345"/>
        <v>4.32001006099359</v>
      </c>
      <c r="AL381" s="32">
        <f t="shared" si="346"/>
        <v>1.33719663035529</v>
      </c>
      <c r="AM381" s="32" t="str">
        <f t="shared" si="326"/>
        <v>1-0,199776139175847i</v>
      </c>
      <c r="AN381" s="32">
        <f t="shared" si="347"/>
        <v>1.01976002362517</v>
      </c>
      <c r="AO381" s="32">
        <f t="shared" si="348"/>
        <v>-0.197180299793771</v>
      </c>
      <c r="AP381" s="30" t="str">
        <f t="shared" si="349"/>
        <v>10,7882107219044-4,81075989558737i</v>
      </c>
      <c r="AQ381" s="32">
        <f t="shared" si="350"/>
        <v>21.4466417462164</v>
      </c>
      <c r="AR381" s="31">
        <f t="shared" si="351"/>
        <v>-24.0334068534972</v>
      </c>
      <c r="AS381" t="str">
        <f t="shared" si="327"/>
        <v>-0,000272527472527473</v>
      </c>
      <c r="AT381" t="str">
        <f t="shared" si="328"/>
        <v>0,0602258503648066i</v>
      </c>
      <c r="AU381">
        <f t="shared" si="352"/>
        <v>0.0602258503648066</v>
      </c>
      <c r="AV381">
        <f t="shared" si="353"/>
        <v>1.5707963267949</v>
      </c>
      <c r="AW381" t="str">
        <f t="shared" si="329"/>
        <v>1+3,08345307352443i</v>
      </c>
      <c r="AX381">
        <f t="shared" si="354"/>
        <v>3.24155562294206</v>
      </c>
      <c r="AY381">
        <f t="shared" si="355"/>
        <v>1.25718707046826</v>
      </c>
      <c r="AZ381" t="str">
        <f t="shared" si="330"/>
        <v>1+147,415299068285i</v>
      </c>
      <c r="BA381">
        <f t="shared" si="356"/>
        <v>147.418690807482</v>
      </c>
      <c r="BB381">
        <f t="shared" si="357"/>
        <v>1.56401287441333</v>
      </c>
      <c r="BC381" s="30" t="str">
        <f t="shared" si="358"/>
        <v>-0,0621559283761787+0,196179979706005i</v>
      </c>
      <c r="BD381" s="32">
        <f t="shared" si="359"/>
        <v>-13.7314716094302</v>
      </c>
      <c r="BE381" s="31">
        <f t="shared" si="360"/>
        <v>107.579823611761</v>
      </c>
      <c r="BF381" s="30" t="str">
        <f t="shared" si="361"/>
        <v>0,109534277879901-0,101991720700931i</v>
      </c>
      <c r="BG381" s="68">
        <f t="shared" si="362"/>
        <v>-16.4975064151641</v>
      </c>
      <c r="BH381" s="31">
        <f t="shared" si="363"/>
        <v>-42.9578223197825</v>
      </c>
      <c r="BI381" s="30" t="str">
        <f t="shared" si="369"/>
        <v>0,27322352574898+2,41544820799243i</v>
      </c>
      <c r="BJ381" s="68">
        <f t="shared" si="364"/>
        <v>7.7151701367862</v>
      </c>
      <c r="BK381" s="31">
        <f t="shared" si="370"/>
        <v>83.546416758264</v>
      </c>
      <c r="BL381" s="32">
        <f t="shared" si="365"/>
        <v>-16.4975064151641</v>
      </c>
      <c r="BM381" s="31">
        <f t="shared" si="366"/>
        <v>-42.9578223197825</v>
      </c>
      <c r="BO381">
        <f t="shared" si="367"/>
        <v>0</v>
      </c>
      <c r="BP381">
        <f t="shared" si="368"/>
        <v>0</v>
      </c>
    </row>
    <row r="382" spans="14:68">
      <c r="N382" s="7">
        <v>64</v>
      </c>
      <c r="O382" s="18">
        <f t="shared" si="318"/>
        <v>43651.5832240166</v>
      </c>
      <c r="P382" s="86" t="str">
        <f t="shared" si="319"/>
        <v>96,0576923076923</v>
      </c>
      <c r="Q382" s="4" t="str">
        <f t="shared" si="320"/>
        <v>1+366,109571238577i</v>
      </c>
      <c r="R382" s="4">
        <f t="shared" si="331"/>
        <v>366.110936947388</v>
      </c>
      <c r="S382" s="4">
        <f t="shared" si="332"/>
        <v>1.56806491087005</v>
      </c>
      <c r="T382" s="4" t="str">
        <f t="shared" si="321"/>
        <v>1+4,30056906594085i</v>
      </c>
      <c r="U382" s="4">
        <f t="shared" si="333"/>
        <v>4.41530228760471</v>
      </c>
      <c r="V382" s="4">
        <f t="shared" si="334"/>
        <v>1.34232888167969</v>
      </c>
      <c r="W382" t="str">
        <f t="shared" si="322"/>
        <v>1-2,04179512059266i</v>
      </c>
      <c r="X382" s="4">
        <f t="shared" si="335"/>
        <v>2.2735275046667</v>
      </c>
      <c r="Y382" s="4">
        <f t="shared" si="336"/>
        <v>-1.11537010798173</v>
      </c>
      <c r="Z382" t="str">
        <f t="shared" si="323"/>
        <v>0,984445218628871+3,50002527354879i</v>
      </c>
      <c r="AA382" s="4">
        <f t="shared" si="337"/>
        <v>3.63583680931385</v>
      </c>
      <c r="AB382" s="4">
        <f t="shared" si="338"/>
        <v>1.29661216608932</v>
      </c>
      <c r="AC382" s="67" t="str">
        <f t="shared" si="339"/>
        <v>-0,634366516854505-0,349754059737336i</v>
      </c>
      <c r="AD382" s="68">
        <f t="shared" si="340"/>
        <v>-2.80048562437861</v>
      </c>
      <c r="AE382" s="31">
        <f t="shared" si="341"/>
        <v>-151.130126321287</v>
      </c>
      <c r="AF382" s="32" t="str">
        <f t="shared" si="342"/>
        <v>236,914774604583</v>
      </c>
      <c r="AG382" s="32" t="str">
        <f t="shared" si="324"/>
        <v>1+90,4096905908017i</v>
      </c>
      <c r="AH382" s="32">
        <f t="shared" si="343"/>
        <v>90.415220802277</v>
      </c>
      <c r="AI382" s="32">
        <f t="shared" si="344"/>
        <v>1.55973601659681</v>
      </c>
      <c r="AJ382" s="32" t="str">
        <f t="shared" si="325"/>
        <v>1+4,30056906594085i</v>
      </c>
      <c r="AK382" s="32">
        <f t="shared" si="345"/>
        <v>4.41530228760471</v>
      </c>
      <c r="AL382" s="32">
        <f t="shared" si="346"/>
        <v>1.34232888167969</v>
      </c>
      <c r="AM382" s="32" t="str">
        <f t="shared" si="326"/>
        <v>1-0,204429523243549i</v>
      </c>
      <c r="AN382" s="32">
        <f t="shared" si="347"/>
        <v>1.02068184561771</v>
      </c>
      <c r="AO382" s="32">
        <f t="shared" si="348"/>
        <v>-0.201651066130793</v>
      </c>
      <c r="AP382" s="30" t="str">
        <f t="shared" si="349"/>
        <v>10,7869070972988-4,80495659145415i</v>
      </c>
      <c r="AQ382" s="32">
        <f t="shared" si="350"/>
        <v>21.4440286120653</v>
      </c>
      <c r="AR382" s="31">
        <f t="shared" si="351"/>
        <v>-24.0102662903903</v>
      </c>
      <c r="AS382" t="str">
        <f t="shared" si="327"/>
        <v>-0,000272527472527473</v>
      </c>
      <c r="AT382" t="str">
        <f t="shared" si="328"/>
        <v>0,0616286906324558i</v>
      </c>
      <c r="AU382">
        <f t="shared" si="352"/>
        <v>0.0616286906324558</v>
      </c>
      <c r="AV382">
        <f t="shared" si="353"/>
        <v>1.5707963267949</v>
      </c>
      <c r="AW382" t="str">
        <f t="shared" si="329"/>
        <v>1+3,1552759221641i</v>
      </c>
      <c r="AX382">
        <f t="shared" si="354"/>
        <v>3.30994956834519</v>
      </c>
      <c r="AY382">
        <f t="shared" si="355"/>
        <v>1.26388115226306</v>
      </c>
      <c r="AZ382" t="str">
        <f t="shared" si="330"/>
        <v>1+150,849042491547i</v>
      </c>
      <c r="BA382">
        <f t="shared" si="356"/>
        <v>150.85235702705</v>
      </c>
      <c r="BB382">
        <f t="shared" si="357"/>
        <v>1.56416728006478</v>
      </c>
      <c r="BC382" s="30" t="str">
        <f t="shared" si="358"/>
        <v>-0,0596137937222101+0,192520055623464i</v>
      </c>
      <c r="BD382" s="32">
        <f t="shared" si="359"/>
        <v>-13.912838574492</v>
      </c>
      <c r="BE382" s="31">
        <f t="shared" si="360"/>
        <v>107.205127769364</v>
      </c>
      <c r="BF382" s="30" t="str">
        <f t="shared" si="361"/>
        <v>0,105151665715206-0,101278110739805i</v>
      </c>
      <c r="BG382" s="68">
        <f t="shared" si="362"/>
        <v>-16.7133241988706</v>
      </c>
      <c r="BH382" s="31">
        <f t="shared" si="363"/>
        <v>-43.9249985519224</v>
      </c>
      <c r="BI382" s="30" t="str">
        <f t="shared" si="369"/>
        <v>0,282002055656068+2,36313764546423i</v>
      </c>
      <c r="BJ382" s="68">
        <f t="shared" si="364"/>
        <v>7.53119003757331</v>
      </c>
      <c r="BK382" s="31">
        <f t="shared" si="370"/>
        <v>83.1948614789739</v>
      </c>
      <c r="BL382" s="32">
        <f t="shared" si="365"/>
        <v>-16.7133241988706</v>
      </c>
      <c r="BM382" s="31">
        <f t="shared" si="366"/>
        <v>-43.9249985519224</v>
      </c>
      <c r="BO382">
        <f t="shared" si="367"/>
        <v>0</v>
      </c>
      <c r="BP382">
        <f t="shared" si="368"/>
        <v>0</v>
      </c>
    </row>
    <row r="383" spans="14:68">
      <c r="N383" s="7">
        <v>65</v>
      </c>
      <c r="O383" s="18">
        <f t="shared" si="318"/>
        <v>44668.3592150964</v>
      </c>
      <c r="P383" s="86" t="str">
        <f t="shared" si="319"/>
        <v>96,0576923076923</v>
      </c>
      <c r="Q383" s="4" t="str">
        <f t="shared" si="320"/>
        <v>1+374,637358655348i</v>
      </c>
      <c r="R383" s="4">
        <f t="shared" si="331"/>
        <v>374.638693276944</v>
      </c>
      <c r="S383" s="4">
        <f t="shared" si="332"/>
        <v>1.56812708518846</v>
      </c>
      <c r="T383" s="4" t="str">
        <f t="shared" si="321"/>
        <v>1+4,40074218799667i</v>
      </c>
      <c r="U383" s="4">
        <f t="shared" si="333"/>
        <v>4.51292940396963</v>
      </c>
      <c r="V383" s="4">
        <f t="shared" si="334"/>
        <v>1.34735617304978</v>
      </c>
      <c r="W383" t="str">
        <f t="shared" si="322"/>
        <v>1-2,08935463857552i</v>
      </c>
      <c r="X383" s="4">
        <f t="shared" si="335"/>
        <v>2.31633391499089</v>
      </c>
      <c r="Y383" s="4">
        <f t="shared" si="336"/>
        <v>-1.12440123539406</v>
      </c>
      <c r="Z383" t="str">
        <f t="shared" si="323"/>
        <v>0,983712144367601+3,58155133522802i</v>
      </c>
      <c r="AA383" s="4">
        <f t="shared" si="337"/>
        <v>3.71418894913141</v>
      </c>
      <c r="AB383" s="4">
        <f t="shared" si="338"/>
        <v>1.30274539367318</v>
      </c>
      <c r="AC383" s="67" t="str">
        <f t="shared" si="339"/>
        <v>-0,635466383823201-0,341955983736409i</v>
      </c>
      <c r="AD383" s="68">
        <f t="shared" si="340"/>
        <v>-2.8336953731329</v>
      </c>
      <c r="AE383" s="31">
        <f t="shared" si="341"/>
        <v>-151.714499609757</v>
      </c>
      <c r="AF383" s="32" t="str">
        <f t="shared" si="342"/>
        <v>236,914774604583</v>
      </c>
      <c r="AG383" s="32" t="str">
        <f t="shared" si="324"/>
        <v>1+92,515602815839i</v>
      </c>
      <c r="AH383" s="32">
        <f t="shared" si="343"/>
        <v>92.5210071517711</v>
      </c>
      <c r="AI383" s="32">
        <f t="shared" si="344"/>
        <v>1.55998776015795</v>
      </c>
      <c r="AJ383" s="32" t="str">
        <f t="shared" si="325"/>
        <v>1+4,40074218799667i</v>
      </c>
      <c r="AK383" s="32">
        <f t="shared" si="345"/>
        <v>4.51292940396963</v>
      </c>
      <c r="AL383" s="32">
        <f t="shared" si="346"/>
        <v>1.34735617304978</v>
      </c>
      <c r="AM383" s="32" t="str">
        <f t="shared" si="326"/>
        <v>1-0,20919129855042i</v>
      </c>
      <c r="AN383" s="32">
        <f t="shared" si="347"/>
        <v>1.02164622026865</v>
      </c>
      <c r="AO383" s="32">
        <f t="shared" si="348"/>
        <v>-0.206217524314725</v>
      </c>
      <c r="AP383" s="30" t="str">
        <f t="shared" si="349"/>
        <v>10,785662131434-4,80169964078336i</v>
      </c>
      <c r="AQ383" s="32">
        <f t="shared" si="350"/>
        <v>21.4422173209634</v>
      </c>
      <c r="AR383" s="31">
        <f t="shared" si="351"/>
        <v>-23.9982863373364</v>
      </c>
      <c r="AS383" t="str">
        <f t="shared" si="327"/>
        <v>-0,000272527472527473</v>
      </c>
      <c r="AT383" t="str">
        <f t="shared" si="328"/>
        <v>0,0630642072476307i</v>
      </c>
      <c r="AU383">
        <f t="shared" si="352"/>
        <v>0.0630642072476307</v>
      </c>
      <c r="AV383">
        <f t="shared" si="353"/>
        <v>1.5707963267949</v>
      </c>
      <c r="AW383" t="str">
        <f t="shared" si="329"/>
        <v>1+3,22877173986273i</v>
      </c>
      <c r="AX383">
        <f t="shared" si="354"/>
        <v>3.380083867027</v>
      </c>
      <c r="AY383">
        <f t="shared" si="355"/>
        <v>1.27045041901024</v>
      </c>
      <c r="AZ383" t="str">
        <f t="shared" si="330"/>
        <v>1+154,362768073863i</v>
      </c>
      <c r="BA383">
        <f t="shared" si="356"/>
        <v>154.366007162928</v>
      </c>
      <c r="BB383">
        <f t="shared" si="357"/>
        <v>1.56431817131993</v>
      </c>
      <c r="BC383" s="30" t="str">
        <f t="shared" si="358"/>
        <v>-0,0571655730822635+0,188896015519601i</v>
      </c>
      <c r="BD383" s="32">
        <f t="shared" si="359"/>
        <v>-14.0949691524465</v>
      </c>
      <c r="BE383" s="31">
        <f t="shared" si="360"/>
        <v>106.837381942341</v>
      </c>
      <c r="BF383" s="30" t="str">
        <f t="shared" si="361"/>
        <v>0,10092092281666-0,100488958121651i</v>
      </c>
      <c r="BG383" s="68">
        <f t="shared" si="362"/>
        <v>-16.9286645255794</v>
      </c>
      <c r="BH383" s="31">
        <f t="shared" si="363"/>
        <v>-44.8771176674161</v>
      </c>
      <c r="BI383" s="30" t="str">
        <f t="shared" si="369"/>
        <v>0,290453373050784+2,31186051310281i</v>
      </c>
      <c r="BJ383" s="68">
        <f t="shared" si="364"/>
        <v>7.34724816851695</v>
      </c>
      <c r="BK383" s="31">
        <f t="shared" si="370"/>
        <v>82.8390956050049</v>
      </c>
      <c r="BL383" s="32">
        <f t="shared" si="365"/>
        <v>-16.9286645255794</v>
      </c>
      <c r="BM383" s="31">
        <f t="shared" si="366"/>
        <v>-44.8771176674161</v>
      </c>
      <c r="BO383">
        <f t="shared" si="367"/>
        <v>0</v>
      </c>
      <c r="BP383">
        <f t="shared" si="368"/>
        <v>0</v>
      </c>
    </row>
    <row r="384" spans="14:68">
      <c r="N384" s="7">
        <v>66</v>
      </c>
      <c r="O384" s="18">
        <f t="shared" ref="O384:O418" si="371">10^(4+(N384/100))</f>
        <v>45708.8189614876</v>
      </c>
      <c r="P384" s="86" t="str">
        <f t="shared" si="319"/>
        <v>96,0576923076923</v>
      </c>
      <c r="Q384" s="4" t="str">
        <f t="shared" si="320"/>
        <v>1+383,363783758589i</v>
      </c>
      <c r="R384" s="4">
        <f t="shared" si="331"/>
        <v>383.365088000593</v>
      </c>
      <c r="S384" s="4">
        <f t="shared" si="332"/>
        <v>1.56818784426654</v>
      </c>
      <c r="T384" s="4" t="str">
        <f t="shared" si="321"/>
        <v>1+4,50324864181127i</v>
      </c>
      <c r="U384" s="4">
        <f t="shared" si="333"/>
        <v>4.61294356457729</v>
      </c>
      <c r="V384" s="4">
        <f t="shared" si="334"/>
        <v>1.35228015308222</v>
      </c>
      <c r="W384" t="str">
        <f t="shared" si="322"/>
        <v>1-2,13802196004362i</v>
      </c>
      <c r="X384" s="4">
        <f t="shared" si="335"/>
        <v>2.36032580412721</v>
      </c>
      <c r="Y384" s="4">
        <f t="shared" si="336"/>
        <v>-1.13330287607091</v>
      </c>
      <c r="Z384" t="str">
        <f t="shared" si="323"/>
        <v>0,982944521380783+3,66497638283261i</v>
      </c>
      <c r="AA384" s="4">
        <f t="shared" si="337"/>
        <v>3.79450020672463</v>
      </c>
      <c r="AB384" s="4">
        <f t="shared" si="338"/>
        <v>1.30876349289144</v>
      </c>
      <c r="AC384" s="67" t="str">
        <f t="shared" si="339"/>
        <v>-0,636523527019692-0,334314190892338i</v>
      </c>
      <c r="AD384" s="68">
        <f t="shared" si="340"/>
        <v>-2.86569793016366</v>
      </c>
      <c r="AE384" s="31">
        <f t="shared" si="341"/>
        <v>-152.290695701656</v>
      </c>
      <c r="AF384" s="32" t="str">
        <f t="shared" si="342"/>
        <v>236,914774604583</v>
      </c>
      <c r="AG384" s="32" t="str">
        <f t="shared" si="324"/>
        <v>1+94,6705680380776i</v>
      </c>
      <c r="AH384" s="32">
        <f t="shared" si="343"/>
        <v>94.6758493632472</v>
      </c>
      <c r="AI384" s="32">
        <f t="shared" si="344"/>
        <v>1.56023377465988</v>
      </c>
      <c r="AJ384" s="32" t="str">
        <f t="shared" si="325"/>
        <v>1+4,50324864181127i</v>
      </c>
      <c r="AK384" s="32">
        <f t="shared" si="345"/>
        <v>4.61294356457729</v>
      </c>
      <c r="AL384" s="32">
        <f t="shared" si="346"/>
        <v>1.35228015308222</v>
      </c>
      <c r="AM384" s="32" t="str">
        <f t="shared" si="326"/>
        <v>1-0,214063989852755i</v>
      </c>
      <c r="AN384" s="32">
        <f t="shared" si="347"/>
        <v>1.02265506978242</v>
      </c>
      <c r="AO384" s="32">
        <f t="shared" si="348"/>
        <v>-0.210881333405958</v>
      </c>
      <c r="AP384" s="30" t="str">
        <f t="shared" si="349"/>
        <v>10,7844731854663-4,80098740332077i</v>
      </c>
      <c r="AQ384" s="32">
        <f t="shared" si="350"/>
        <v>21.4412050479661</v>
      </c>
      <c r="AR384" s="31">
        <f t="shared" si="351"/>
        <v>-23.9974752331129</v>
      </c>
      <c r="AS384" t="str">
        <f t="shared" si="327"/>
        <v>-0,000272527472527473</v>
      </c>
      <c r="AT384" t="str">
        <f t="shared" si="328"/>
        <v>0,0645331613402417i</v>
      </c>
      <c r="AU384">
        <f t="shared" si="352"/>
        <v>0.0645331613402417</v>
      </c>
      <c r="AV384">
        <f t="shared" si="353"/>
        <v>1.5707963267949</v>
      </c>
      <c r="AW384" t="str">
        <f t="shared" si="329"/>
        <v>1+3,30397949507567i</v>
      </c>
      <c r="AX384">
        <f t="shared" si="354"/>
        <v>3.45199659673651</v>
      </c>
      <c r="AY384">
        <f t="shared" si="355"/>
        <v>1.27689608502111</v>
      </c>
      <c r="AZ384" t="str">
        <f t="shared" si="330"/>
        <v>1+157,958338839043i</v>
      </c>
      <c r="BA384">
        <f t="shared" si="356"/>
        <v>157.961504198934</v>
      </c>
      <c r="BB384">
        <f t="shared" si="357"/>
        <v>1.56446562815584</v>
      </c>
      <c r="BC384" s="30" t="str">
        <f t="shared" si="358"/>
        <v>-0,0548086110278651+0,185309587922467i</v>
      </c>
      <c r="BD384" s="32">
        <f t="shared" si="359"/>
        <v>-14.2778350093964</v>
      </c>
      <c r="BE384" s="31">
        <f t="shared" si="360"/>
        <v>106.476521138125</v>
      </c>
      <c r="BF384" s="30" t="str">
        <f t="shared" si="361"/>
        <v>0,0968385953533992-0,0996306160452608i</v>
      </c>
      <c r="BG384" s="68">
        <f t="shared" si="362"/>
        <v>-17.1435329395601</v>
      </c>
      <c r="BH384" s="31">
        <f t="shared" si="363"/>
        <v>-45.8141745635308</v>
      </c>
      <c r="BI384" s="30" t="str">
        <f t="shared" si="369"/>
        <v>0,298587001367663+2,26160173309794i</v>
      </c>
      <c r="BJ384" s="68">
        <f t="shared" si="364"/>
        <v>7.1633700385697</v>
      </c>
      <c r="BK384" s="31">
        <f t="shared" si="370"/>
        <v>82.4790459050121</v>
      </c>
      <c r="BL384" s="32">
        <f t="shared" si="365"/>
        <v>-17.1435329395601</v>
      </c>
      <c r="BM384" s="31">
        <f t="shared" si="366"/>
        <v>-45.8141745635308</v>
      </c>
      <c r="BO384">
        <f t="shared" si="367"/>
        <v>0</v>
      </c>
      <c r="BP384">
        <f t="shared" si="368"/>
        <v>0</v>
      </c>
    </row>
    <row r="385" spans="14:68">
      <c r="N385" s="7">
        <v>67</v>
      </c>
      <c r="O385" s="18">
        <f t="shared" si="371"/>
        <v>46773.5141287199</v>
      </c>
      <c r="P385" s="86" t="str">
        <f t="shared" si="319"/>
        <v>96,0576923076923</v>
      </c>
      <c r="Q385" s="4" t="str">
        <f t="shared" si="320"/>
        <v>1+392,293473414399i</v>
      </c>
      <c r="R385" s="4">
        <f t="shared" si="331"/>
        <v>392.294747968328</v>
      </c>
      <c r="S385" s="4">
        <f t="shared" si="332"/>
        <v>1.56824722031776</v>
      </c>
      <c r="T385" s="4" t="str">
        <f t="shared" si="321"/>
        <v>1+4,60814277766329i</v>
      </c>
      <c r="U385" s="4">
        <f t="shared" si="333"/>
        <v>4.71539816551374</v>
      </c>
      <c r="V385" s="4">
        <f t="shared" si="334"/>
        <v>1.35710247702558</v>
      </c>
      <c r="W385" t="str">
        <f t="shared" si="322"/>
        <v>1-2,18782288905499i</v>
      </c>
      <c r="X385" s="4">
        <f t="shared" si="335"/>
        <v>2.40552883871155</v>
      </c>
      <c r="Y385" s="4">
        <f t="shared" si="336"/>
        <v>-1.14207410590335</v>
      </c>
      <c r="Z385" t="str">
        <f t="shared" si="323"/>
        <v>0,982140721437146+3,75034464942708i</v>
      </c>
      <c r="AA385" s="4">
        <f t="shared" si="337"/>
        <v>3.87681381887129</v>
      </c>
      <c r="AB385" s="4">
        <f t="shared" si="338"/>
        <v>1.31466800084119</v>
      </c>
      <c r="AC385" s="67" t="str">
        <f t="shared" si="339"/>
        <v>-0,637539326680234-0,326826069702897i</v>
      </c>
      <c r="AD385" s="68">
        <f t="shared" si="340"/>
        <v>-2.89652703481518</v>
      </c>
      <c r="AE385" s="31">
        <f t="shared" si="341"/>
        <v>-152.858656725556</v>
      </c>
      <c r="AF385" s="32" t="str">
        <f t="shared" si="342"/>
        <v>236,914774604583</v>
      </c>
      <c r="AG385" s="32" t="str">
        <f t="shared" si="324"/>
        <v>1+96,8757288486031i</v>
      </c>
      <c r="AH385" s="32">
        <f t="shared" si="343"/>
        <v>96.8808899626137</v>
      </c>
      <c r="AI385" s="32">
        <f t="shared" si="344"/>
        <v>1.56047419042356</v>
      </c>
      <c r="AJ385" s="32" t="str">
        <f t="shared" si="325"/>
        <v>1+4,60814277766329i</v>
      </c>
      <c r="AK385" s="32">
        <f t="shared" si="345"/>
        <v>4.71539816551374</v>
      </c>
      <c r="AL385" s="32">
        <f t="shared" si="346"/>
        <v>1.35710247702558</v>
      </c>
      <c r="AM385" s="32" t="str">
        <f t="shared" si="326"/>
        <v>1-0,219050180715983i</v>
      </c>
      <c r="AN385" s="32">
        <f t="shared" si="347"/>
        <v>1.02371039931794</v>
      </c>
      <c r="AO385" s="32">
        <f t="shared" si="348"/>
        <v>-0.215644154295515</v>
      </c>
      <c r="AP385" s="30" t="str">
        <f t="shared" si="349"/>
        <v>10,7833377392108-4,80281958227321i</v>
      </c>
      <c r="AQ385" s="32">
        <f t="shared" si="350"/>
        <v>21.4409902178088</v>
      </c>
      <c r="AR385" s="31">
        <f t="shared" si="351"/>
        <v>-24.007840767849</v>
      </c>
      <c r="AS385" t="str">
        <f t="shared" si="327"/>
        <v>-0,000272527472527473</v>
      </c>
      <c r="AT385" t="str">
        <f t="shared" si="328"/>
        <v>0,0660363317691926i</v>
      </c>
      <c r="AU385">
        <f t="shared" si="352"/>
        <v>0.0660363317691926</v>
      </c>
      <c r="AV385">
        <f t="shared" si="353"/>
        <v>1.5707963267949</v>
      </c>
      <c r="AW385" t="str">
        <f t="shared" si="329"/>
        <v>1+3,38093906395023i</v>
      </c>
      <c r="AX385">
        <f t="shared" si="354"/>
        <v>3.52572672709396</v>
      </c>
      <c r="AY385">
        <f t="shared" si="355"/>
        <v>1.28321942472309</v>
      </c>
      <c r="AZ385" t="str">
        <f t="shared" si="330"/>
        <v>1+161,637661206301i</v>
      </c>
      <c r="BA385">
        <f t="shared" si="356"/>
        <v>161.640754515199</v>
      </c>
      <c r="BB385">
        <f t="shared" si="357"/>
        <v>1.5646097287304</v>
      </c>
      <c r="BC385" s="30" t="str">
        <f t="shared" si="358"/>
        <v>-0,0525402600796919+0,181762350063453i</v>
      </c>
      <c r="BD385" s="32">
        <f t="shared" si="359"/>
        <v>-14.4614086227398</v>
      </c>
      <c r="BE385" s="31">
        <f t="shared" si="360"/>
        <v>106.122476815522</v>
      </c>
      <c r="BF385" s="30" t="str">
        <f t="shared" si="361"/>
        <v>0,0929011565260116-0,0987091195722571i</v>
      </c>
      <c r="BG385" s="68">
        <f t="shared" si="362"/>
        <v>-17.357935657555</v>
      </c>
      <c r="BH385" s="31">
        <f t="shared" si="363"/>
        <v>-46.736179910034</v>
      </c>
      <c r="BI385" s="30" t="str">
        <f t="shared" si="369"/>
        <v>0,306412404859458+2,21234619897535i</v>
      </c>
      <c r="BJ385" s="68">
        <f t="shared" si="364"/>
        <v>6.97958159506896</v>
      </c>
      <c r="BK385" s="31">
        <f t="shared" si="370"/>
        <v>82.1146360476729</v>
      </c>
      <c r="BL385" s="32">
        <f t="shared" si="365"/>
        <v>-17.357935657555</v>
      </c>
      <c r="BM385" s="31">
        <f t="shared" si="366"/>
        <v>-46.736179910034</v>
      </c>
      <c r="BO385">
        <f t="shared" si="367"/>
        <v>0</v>
      </c>
      <c r="BP385">
        <f t="shared" si="368"/>
        <v>0</v>
      </c>
    </row>
    <row r="386" spans="14:68">
      <c r="N386" s="7">
        <v>68</v>
      </c>
      <c r="O386" s="18">
        <f t="shared" si="371"/>
        <v>47863.0092322638</v>
      </c>
      <c r="P386" s="86" t="str">
        <f t="shared" si="319"/>
        <v>96,0576923076923</v>
      </c>
      <c r="Q386" s="4" t="str">
        <f t="shared" si="320"/>
        <v>1+401,431162262429i</v>
      </c>
      <c r="R386" s="4">
        <f t="shared" si="331"/>
        <v>401.432407804059</v>
      </c>
      <c r="S386" s="4">
        <f t="shared" si="332"/>
        <v>1.56830524482242</v>
      </c>
      <c r="T386" s="4" t="str">
        <f t="shared" si="321"/>
        <v>1+4,715480211812i</v>
      </c>
      <c r="U386" s="4">
        <f t="shared" si="333"/>
        <v>4.82034787416744</v>
      </c>
      <c r="V386" s="4">
        <f t="shared" si="334"/>
        <v>1.36182480419111</v>
      </c>
      <c r="W386" t="str">
        <f t="shared" si="322"/>
        <v>1-2,2387838307214i</v>
      </c>
      <c r="X386" s="4">
        <f t="shared" si="335"/>
        <v>2.45196921691517</v>
      </c>
      <c r="Y386" s="4">
        <f t="shared" si="336"/>
        <v>-1.15071417601023</v>
      </c>
      <c r="Z386" t="str">
        <f t="shared" si="323"/>
        <v>0,981299039569243+3,83770139839634i</v>
      </c>
      <c r="AA386" s="4">
        <f t="shared" si="337"/>
        <v>3.96117404670796</v>
      </c>
      <c r="AB386" s="4">
        <f t="shared" si="338"/>
        <v>1.32046048987867</v>
      </c>
      <c r="AC386" s="67" t="str">
        <f t="shared" si="339"/>
        <v>-0,638515141066534-0,31948901640084i</v>
      </c>
      <c r="AD386" s="68">
        <f t="shared" si="340"/>
        <v>-2.92621622613787</v>
      </c>
      <c r="AE386" s="31">
        <f t="shared" si="341"/>
        <v>-153.418336595261</v>
      </c>
      <c r="AF386" s="32" t="str">
        <f t="shared" si="342"/>
        <v>236,914774604583</v>
      </c>
      <c r="AG386" s="32" t="str">
        <f t="shared" si="324"/>
        <v>1+99,1322544528658i</v>
      </c>
      <c r="AH386" s="32">
        <f t="shared" si="343"/>
        <v>99.1372980916251</v>
      </c>
      <c r="AI386" s="32">
        <f t="shared" si="344"/>
        <v>1.56070913480939</v>
      </c>
      <c r="AJ386" s="32" t="str">
        <f t="shared" si="325"/>
        <v>1+4,715480211812i</v>
      </c>
      <c r="AK386" s="32">
        <f t="shared" si="345"/>
        <v>4.82034787416744</v>
      </c>
      <c r="AL386" s="32">
        <f t="shared" si="346"/>
        <v>1.36182480419111</v>
      </c>
      <c r="AM386" s="32" t="str">
        <f t="shared" si="326"/>
        <v>1-0,224152514884497i</v>
      </c>
      <c r="AN386" s="32">
        <f t="shared" si="347"/>
        <v>1.0248143002169</v>
      </c>
      <c r="AO386" s="32">
        <f t="shared" si="348"/>
        <v>-0.220507647559355</v>
      </c>
      <c r="AP386" s="30" t="str">
        <f t="shared" si="349"/>
        <v>10,7822533858105-4,8071972245366i</v>
      </c>
      <c r="AQ386" s="32">
        <f t="shared" si="350"/>
        <v>21.4415725053635</v>
      </c>
      <c r="AR386" s="31">
        <f t="shared" si="351"/>
        <v>-24.0293903112211</v>
      </c>
      <c r="AS386" t="str">
        <f t="shared" si="327"/>
        <v>-0,000272527472527473</v>
      </c>
      <c r="AT386" t="str">
        <f t="shared" si="328"/>
        <v>0,0675745155353415i</v>
      </c>
      <c r="AU386">
        <f t="shared" si="352"/>
        <v>0.0675745155353415</v>
      </c>
      <c r="AV386">
        <f t="shared" si="353"/>
        <v>1.5707963267949</v>
      </c>
      <c r="AW386" t="str">
        <f t="shared" si="329"/>
        <v>1+3,45969125146852i</v>
      </c>
      <c r="AX386">
        <f t="shared" si="354"/>
        <v>3.6013141428495</v>
      </c>
      <c r="AY386">
        <f t="shared" si="355"/>
        <v>1.28942176738628</v>
      </c>
      <c r="AZ386" t="str">
        <f t="shared" si="330"/>
        <v>1+165,402686001058i</v>
      </c>
      <c r="BA386">
        <f t="shared" si="356"/>
        <v>165.405708898951</v>
      </c>
      <c r="BB386">
        <f t="shared" si="357"/>
        <v>1.56475054942369</v>
      </c>
      <c r="BC386" s="30" t="str">
        <f t="shared" si="358"/>
        <v>-0,0503578872203826+0,178255733739958i</v>
      </c>
      <c r="BD386" s="32">
        <f t="shared" si="359"/>
        <v>-14.6456632777602</v>
      </c>
      <c r="BE386" s="31">
        <f t="shared" si="360"/>
        <v>105.775177189221</v>
      </c>
      <c r="BF386" s="30" t="str">
        <f t="shared" si="361"/>
        <v>0,0891050225027244-0,0977301931188233i</v>
      </c>
      <c r="BG386" s="68">
        <f t="shared" si="362"/>
        <v>-17.571879503898</v>
      </c>
      <c r="BH386" s="31">
        <f t="shared" si="363"/>
        <v>-47.6431594060404</v>
      </c>
      <c r="BI386" s="30" t="str">
        <f t="shared" si="369"/>
        <v>0,313938968508228+2,16407878433715i</v>
      </c>
      <c r="BJ386" s="68">
        <f t="shared" si="364"/>
        <v>6.79590922760334</v>
      </c>
      <c r="BK386" s="31">
        <f t="shared" si="370"/>
        <v>81.7457868779996</v>
      </c>
      <c r="BL386" s="32">
        <f t="shared" si="365"/>
        <v>-17.571879503898</v>
      </c>
      <c r="BM386" s="31">
        <f t="shared" si="366"/>
        <v>-47.6431594060404</v>
      </c>
      <c r="BO386">
        <f t="shared" si="367"/>
        <v>0</v>
      </c>
      <c r="BP386">
        <f t="shared" si="368"/>
        <v>0</v>
      </c>
    </row>
    <row r="387" spans="14:68">
      <c r="N387" s="7">
        <v>69</v>
      </c>
      <c r="O387" s="18">
        <f t="shared" si="371"/>
        <v>48977.8819368446</v>
      </c>
      <c r="P387" s="86" t="str">
        <f t="shared" si="319"/>
        <v>96,0576923076923</v>
      </c>
      <c r="Q387" s="4" t="str">
        <f t="shared" si="320"/>
        <v>1+410,781695226261i</v>
      </c>
      <c r="R387" s="4">
        <f t="shared" si="331"/>
        <v>410.782912415987</v>
      </c>
      <c r="S387" s="4">
        <f t="shared" si="332"/>
        <v>1.5683619485443</v>
      </c>
      <c r="T387" s="4" t="str">
        <f t="shared" si="321"/>
        <v>1+4,82531785598578i</v>
      </c>
      <c r="U387" s="4">
        <f t="shared" si="333"/>
        <v>4.92784865953645</v>
      </c>
      <c r="V387" s="4">
        <f t="shared" si="334"/>
        <v>1.36644879555187</v>
      </c>
      <c r="W387" t="str">
        <f t="shared" si="322"/>
        <v>1-2,29093180520867i</v>
      </c>
      <c r="X387" s="4">
        <f t="shared" si="335"/>
        <v>2.49967368592716</v>
      </c>
      <c r="Y387" s="4">
        <f t="shared" si="336"/>
        <v>-1.1592225065277</v>
      </c>
      <c r="Z387" t="str">
        <f t="shared" si="323"/>
        <v>0,980417690456984+3,92709294744502i</v>
      </c>
      <c r="AA387" s="4">
        <f t="shared" si="337"/>
        <v>4.04762620132262</v>
      </c>
      <c r="AB387" s="4">
        <f t="shared" si="338"/>
        <v>1.32614256353166</v>
      </c>
      <c r="AC387" s="67" t="str">
        <f t="shared" si="339"/>
        <v>-0,639452304732394-0,312300436419231i</v>
      </c>
      <c r="AD387" s="68">
        <f t="shared" si="340"/>
        <v>-2.95479878540344</v>
      </c>
      <c r="AE387" s="31">
        <f t="shared" si="341"/>
        <v>-153.969700558284</v>
      </c>
      <c r="AF387" s="32" t="str">
        <f t="shared" si="342"/>
        <v>236,914774604583</v>
      </c>
      <c r="AG387" s="32" t="str">
        <f t="shared" si="324"/>
        <v>1+101,44134129061i</v>
      </c>
      <c r="AH387" s="32">
        <f t="shared" si="343"/>
        <v>101.446270127778</v>
      </c>
      <c r="AI387" s="32">
        <f t="shared" si="344"/>
        <v>1.56093873228417</v>
      </c>
      <c r="AJ387" s="32" t="str">
        <f t="shared" si="325"/>
        <v>1+4,82531785598578i</v>
      </c>
      <c r="AK387" s="32">
        <f t="shared" si="345"/>
        <v>4.92784865953645</v>
      </c>
      <c r="AL387" s="32">
        <f t="shared" si="346"/>
        <v>1.36644879555187</v>
      </c>
      <c r="AM387" s="32" t="str">
        <f t="shared" si="326"/>
        <v>1-0,229373697683413i</v>
      </c>
      <c r="AN387" s="32">
        <f t="shared" si="347"/>
        <v>1.02596895332606</v>
      </c>
      <c r="AO387" s="32">
        <f t="shared" si="348"/>
        <v>-0.225473471154496</v>
      </c>
      <c r="AP387" s="30" t="str">
        <f t="shared" si="349"/>
        <v>10,7812178266447-4,81412272161104i</v>
      </c>
      <c r="AQ387" s="32">
        <f t="shared" si="350"/>
        <v>21.4429528358176</v>
      </c>
      <c r="AR387" s="31">
        <f t="shared" si="351"/>
        <v>-24.0621308218441</v>
      </c>
      <c r="AS387" t="str">
        <f t="shared" si="327"/>
        <v>-0,000272527472527473</v>
      </c>
      <c r="AT387" t="str">
        <f t="shared" si="328"/>
        <v>0,0691485282040819i</v>
      </c>
      <c r="AU387">
        <f t="shared" si="352"/>
        <v>0.0691485282040819</v>
      </c>
      <c r="AV387">
        <f t="shared" si="353"/>
        <v>1.5707963267949</v>
      </c>
      <c r="AW387" t="str">
        <f t="shared" si="329"/>
        <v>1+3,54027781308276i</v>
      </c>
      <c r="AX387">
        <f t="shared" si="354"/>
        <v>3.67879966752826</v>
      </c>
      <c r="AY387">
        <f t="shared" si="355"/>
        <v>1.2955044920596</v>
      </c>
      <c r="AZ387" t="str">
        <f t="shared" si="330"/>
        <v>1+169,255409489297i</v>
      </c>
      <c r="BA387">
        <f t="shared" si="356"/>
        <v>169.258363578848</v>
      </c>
      <c r="BB387">
        <f t="shared" si="357"/>
        <v>1.56488816487835</v>
      </c>
      <c r="BC387" s="30" t="str">
        <f t="shared" si="358"/>
        <v>-0,0482588798160182+0,174791031274961i</v>
      </c>
      <c r="BD387" s="32">
        <f t="shared" si="359"/>
        <v>-14.8305730623115</v>
      </c>
      <c r="BE387" s="31">
        <f t="shared" si="360"/>
        <v>105.434547522247</v>
      </c>
      <c r="BF387" s="30" t="str">
        <f t="shared" si="361"/>
        <v>0,0854465672714942-0,0966992585676801i</v>
      </c>
      <c r="BG387" s="68">
        <f t="shared" si="362"/>
        <v>-17.785371847715</v>
      </c>
      <c r="BH387" s="31">
        <f t="shared" si="363"/>
        <v>-48.5351530360362</v>
      </c>
      <c r="BI387" s="30" t="str">
        <f t="shared" si="369"/>
        <v>0,321175979828256+2,11678435216101i</v>
      </c>
      <c r="BJ387" s="68">
        <f t="shared" si="364"/>
        <v>6.61237977350612</v>
      </c>
      <c r="BK387" s="31">
        <f t="shared" si="370"/>
        <v>81.3724167004031</v>
      </c>
      <c r="BL387" s="32">
        <f t="shared" si="365"/>
        <v>-17.785371847715</v>
      </c>
      <c r="BM387" s="31">
        <f t="shared" si="366"/>
        <v>-48.5351530360362</v>
      </c>
      <c r="BO387">
        <f t="shared" si="367"/>
        <v>0</v>
      </c>
      <c r="BP387">
        <f t="shared" si="368"/>
        <v>0</v>
      </c>
    </row>
    <row r="388" spans="14:68">
      <c r="N388" s="7">
        <v>70</v>
      </c>
      <c r="O388" s="18">
        <f t="shared" si="371"/>
        <v>50118.7233627273</v>
      </c>
      <c r="P388" s="86" t="str">
        <f t="shared" si="319"/>
        <v>96,0576923076923</v>
      </c>
      <c r="Q388" s="4" t="str">
        <f t="shared" si="320"/>
        <v>1+420,350030082243i</v>
      </c>
      <c r="R388" s="4">
        <f t="shared" si="331"/>
        <v>420.351219565428</v>
      </c>
      <c r="S388" s="4">
        <f t="shared" si="332"/>
        <v>1.56841736154703</v>
      </c>
      <c r="T388" s="4" t="str">
        <f t="shared" si="321"/>
        <v>1+4,93771394755745i</v>
      </c>
      <c r="U388" s="4">
        <f t="shared" si="333"/>
        <v>5.03795782315646</v>
      </c>
      <c r="V388" s="4">
        <f t="shared" si="334"/>
        <v>1.37097611150412</v>
      </c>
      <c r="W388" t="str">
        <f t="shared" si="322"/>
        <v>1-2,34429446206313i</v>
      </c>
      <c r="X388" s="4">
        <f t="shared" si="335"/>
        <v>2.54866955976248</v>
      </c>
      <c r="Y388" s="4">
        <f t="shared" si="336"/>
        <v>-1.16759868017957</v>
      </c>
      <c r="Z388" t="str">
        <f t="shared" si="323"/>
        <v>0,979494804640738+4,01856669315567i</v>
      </c>
      <c r="AA388" s="4">
        <f t="shared" si="337"/>
        <v>4.13621666981534</v>
      </c>
      <c r="AB388" s="4">
        <f t="shared" si="338"/>
        <v>1.33171585262187</v>
      </c>
      <c r="AC388" s="67" t="str">
        <f t="shared" si="339"/>
        <v>-0,640352127016689-0,30525774585035i</v>
      </c>
      <c r="AD388" s="68">
        <f t="shared" si="340"/>
        <v>-2.98230768265389</v>
      </c>
      <c r="AE388" s="31">
        <f t="shared" si="341"/>
        <v>-154.51272473448</v>
      </c>
      <c r="AF388" s="32" t="str">
        <f t="shared" si="342"/>
        <v>236,914774604583</v>
      </c>
      <c r="AG388" s="32" t="str">
        <f t="shared" si="324"/>
        <v>1+103,804213670242i</v>
      </c>
      <c r="AH388" s="32">
        <f t="shared" si="343"/>
        <v>103.809030318645</v>
      </c>
      <c r="AI388" s="32">
        <f t="shared" si="344"/>
        <v>1.56116310448665</v>
      </c>
      <c r="AJ388" s="32" t="str">
        <f t="shared" si="325"/>
        <v>1+4,93771394755745i</v>
      </c>
      <c r="AK388" s="32">
        <f t="shared" si="345"/>
        <v>5.03795782315646</v>
      </c>
      <c r="AL388" s="32">
        <f t="shared" si="346"/>
        <v>1.37097611150412</v>
      </c>
      <c r="AM388" s="32" t="str">
        <f t="shared" si="326"/>
        <v>1-0,234716497452961i</v>
      </c>
      <c r="AN388" s="32">
        <f t="shared" si="347"/>
        <v>1.02717663241362</v>
      </c>
      <c r="AO388" s="32">
        <f t="shared" si="348"/>
        <v>-0.230543277950419</v>
      </c>
      <c r="AP388" s="30" t="str">
        <f t="shared" si="349"/>
        <v>10,7802288664649-4,82359981120444i</v>
      </c>
      <c r="AQ388" s="32">
        <f t="shared" si="350"/>
        <v>21.4451333845763</v>
      </c>
      <c r="AR388" s="31">
        <f t="shared" si="351"/>
        <v>-24.1060688378538</v>
      </c>
      <c r="AS388" t="str">
        <f t="shared" si="327"/>
        <v>-0,000272527472527473</v>
      </c>
      <c r="AT388" t="str">
        <f t="shared" si="328"/>
        <v>0,0707592043377653i</v>
      </c>
      <c r="AU388">
        <f t="shared" si="352"/>
        <v>0.0707592043377653</v>
      </c>
      <c r="AV388">
        <f t="shared" si="353"/>
        <v>1.5707963267949</v>
      </c>
      <c r="AW388" t="str">
        <f t="shared" si="329"/>
        <v>1+3,62274147685463i</v>
      </c>
      <c r="AX388">
        <f t="shared" si="354"/>
        <v>3.75822508747452</v>
      </c>
      <c r="AY388">
        <f t="shared" si="355"/>
        <v>1.30146902271906</v>
      </c>
      <c r="AZ388" t="str">
        <f t="shared" si="330"/>
        <v>1+173,197874436007i</v>
      </c>
      <c r="BA388">
        <f t="shared" si="356"/>
        <v>173.200761283404</v>
      </c>
      <c r="BB388">
        <f t="shared" si="357"/>
        <v>1.56502264803906</v>
      </c>
      <c r="BC388" s="30" t="str">
        <f t="shared" si="358"/>
        <v>-0,0462406509701214+0,171369401532211i</v>
      </c>
      <c r="BD388" s="32">
        <f t="shared" si="359"/>
        <v>-15.0161128597764</v>
      </c>
      <c r="BE388" s="31">
        <f t="shared" si="360"/>
        <v>105.100510406208</v>
      </c>
      <c r="BF388" s="30" t="str">
        <f t="shared" si="361"/>
        <v>0,0819221364227998-0,0956214438949363i</v>
      </c>
      <c r="BG388" s="68">
        <f t="shared" si="362"/>
        <v>-17.9984205424303</v>
      </c>
      <c r="BH388" s="31">
        <f t="shared" si="363"/>
        <v>-49.4122143282711</v>
      </c>
      <c r="BI388" s="30" t="str">
        <f t="shared" si="369"/>
        <v>0,32813261248476+2,0704477645158i</v>
      </c>
      <c r="BJ388" s="68">
        <f t="shared" si="364"/>
        <v>6.4290205247999</v>
      </c>
      <c r="BK388" s="31">
        <f t="shared" si="370"/>
        <v>80.9944415683547</v>
      </c>
      <c r="BL388" s="32">
        <f t="shared" si="365"/>
        <v>-17.9984205424303</v>
      </c>
      <c r="BM388" s="31">
        <f t="shared" si="366"/>
        <v>-49.4122143282711</v>
      </c>
      <c r="BO388">
        <f t="shared" si="367"/>
        <v>0</v>
      </c>
      <c r="BP388">
        <f t="shared" si="368"/>
        <v>0</v>
      </c>
    </row>
    <row r="389" spans="14:68">
      <c r="N389" s="7">
        <v>71</v>
      </c>
      <c r="O389" s="18">
        <f t="shared" si="371"/>
        <v>51286.1383991365</v>
      </c>
      <c r="P389" s="86" t="str">
        <f t="shared" si="319"/>
        <v>96,0576923076923</v>
      </c>
      <c r="Q389" s="4" t="str">
        <f t="shared" si="320"/>
        <v>1+430,141240088163i</v>
      </c>
      <c r="R389" s="4">
        <f t="shared" si="331"/>
        <v>430.142402495479</v>
      </c>
      <c r="S389" s="4">
        <f t="shared" si="332"/>
        <v>1.56847151320993</v>
      </c>
      <c r="T389" s="4" t="str">
        <f t="shared" si="321"/>
        <v>1+5,05272808042247i</v>
      </c>
      <c r="U389" s="4">
        <f t="shared" si="333"/>
        <v>5.15073403066881</v>
      </c>
      <c r="V389" s="4">
        <f t="shared" si="334"/>
        <v>1.37540840978404</v>
      </c>
      <c r="W389" t="str">
        <f t="shared" si="322"/>
        <v>1-2,39890009487178i</v>
      </c>
      <c r="X389" s="4">
        <f t="shared" si="335"/>
        <v>2.59898473738801</v>
      </c>
      <c r="Y389" s="4">
        <f t="shared" si="336"/>
        <v>-1.17584243567531</v>
      </c>
      <c r="Z389" t="str">
        <f t="shared" si="323"/>
        <v>0,978528424555956+4,11217113611903i</v>
      </c>
      <c r="AA389" s="4">
        <f t="shared" si="337"/>
        <v>4.22699294184346</v>
      </c>
      <c r="AB389" s="4">
        <f t="shared" si="338"/>
        <v>1.33718201159368</v>
      </c>
      <c r="AC389" s="67" t="str">
        <f t="shared" si="339"/>
        <v>-0,641215890748629-0,298358372886255i</v>
      </c>
      <c r="AD389" s="68">
        <f t="shared" si="340"/>
        <v>-3.0087755272989</v>
      </c>
      <c r="AE389" s="31">
        <f t="shared" si="341"/>
        <v>-155.047395647711</v>
      </c>
      <c r="AF389" s="32" t="str">
        <f t="shared" si="342"/>
        <v>236,914774604583</v>
      </c>
      <c r="AG389" s="32" t="str">
        <f t="shared" si="324"/>
        <v>1+106,222124417972i</v>
      </c>
      <c r="AH389" s="32">
        <f t="shared" si="343"/>
        <v>106.226831430986</v>
      </c>
      <c r="AI389" s="32">
        <f t="shared" si="344"/>
        <v>1.56138237029153</v>
      </c>
      <c r="AJ389" s="32" t="str">
        <f t="shared" si="325"/>
        <v>1+5,05272808042247i</v>
      </c>
      <c r="AK389" s="32">
        <f t="shared" si="345"/>
        <v>5.15073403066881</v>
      </c>
      <c r="AL389" s="32">
        <f t="shared" si="346"/>
        <v>1.37540840978404</v>
      </c>
      <c r="AM389" s="32" t="str">
        <f t="shared" si="326"/>
        <v>1-0,240183747016299i</v>
      </c>
      <c r="AN389" s="32">
        <f t="shared" si="347"/>
        <v>1.02843970767896</v>
      </c>
      <c r="AO389" s="32">
        <f t="shared" si="348"/>
        <v>-0.235718713089412</v>
      </c>
      <c r="AP389" s="30" t="str">
        <f t="shared" si="349"/>
        <v>10,7792844087507-4,83563357952798i</v>
      </c>
      <c r="AQ389" s="32">
        <f t="shared" si="350"/>
        <v>21.4481175768822</v>
      </c>
      <c r="AR389" s="31">
        <f t="shared" si="351"/>
        <v>-24.1612104486899</v>
      </c>
      <c r="AS389" t="str">
        <f t="shared" si="327"/>
        <v>-0,000272527472527473</v>
      </c>
      <c r="AT389" t="str">
        <f t="shared" si="328"/>
        <v>0,072407397938197i</v>
      </c>
      <c r="AU389">
        <f t="shared" si="352"/>
        <v>0.072407397938197</v>
      </c>
      <c r="AV389">
        <f t="shared" si="353"/>
        <v>1.5707963267949</v>
      </c>
      <c r="AW389" t="str">
        <f t="shared" si="329"/>
        <v>1+3,70712596611017i</v>
      </c>
      <c r="AX389">
        <f t="shared" si="354"/>
        <v>3.83963317630842</v>
      </c>
      <c r="AY389">
        <f t="shared" si="355"/>
        <v>1.3073168236294</v>
      </c>
      <c r="AZ389" t="str">
        <f t="shared" si="330"/>
        <v>1+177,232171188288i</v>
      </c>
      <c r="BA389">
        <f t="shared" si="356"/>
        <v>177.234992324074</v>
      </c>
      <c r="BB389">
        <f t="shared" si="357"/>
        <v>1.56515407019111</v>
      </c>
      <c r="BC389" s="30" t="str">
        <f t="shared" si="358"/>
        <v>-0,0443006443355248+0,167991875949809i</v>
      </c>
      <c r="BD389" s="32">
        <f t="shared" si="359"/>
        <v>-15.2022583404659</v>
      </c>
      <c r="BE389" s="31">
        <f t="shared" si="360"/>
        <v>104.77298602926</v>
      </c>
      <c r="BF389" s="30" t="str">
        <f t="shared" si="361"/>
        <v>0,0785280598848364-0,0945015922139301i</v>
      </c>
      <c r="BG389" s="68">
        <f t="shared" si="362"/>
        <v>-18.2110338677648</v>
      </c>
      <c r="BH389" s="31">
        <f t="shared" si="363"/>
        <v>-50.274409618451</v>
      </c>
      <c r="BI389" s="30" t="str">
        <f t="shared" si="369"/>
        <v>0,334817911647263+2,02505389256615i</v>
      </c>
      <c r="BJ389" s="68">
        <f t="shared" si="364"/>
        <v>6.2458592364164</v>
      </c>
      <c r="BK389" s="31">
        <f t="shared" si="370"/>
        <v>80.61177558057</v>
      </c>
      <c r="BL389" s="32">
        <f t="shared" si="365"/>
        <v>-18.2110338677648</v>
      </c>
      <c r="BM389" s="31">
        <f t="shared" si="366"/>
        <v>-50.274409618451</v>
      </c>
      <c r="BO389">
        <f t="shared" si="367"/>
        <v>0</v>
      </c>
      <c r="BP389">
        <f t="shared" si="368"/>
        <v>0</v>
      </c>
    </row>
    <row r="390" spans="14:68">
      <c r="N390" s="7">
        <v>72</v>
      </c>
      <c r="O390" s="18">
        <f t="shared" si="371"/>
        <v>52480.7460249773</v>
      </c>
      <c r="P390" s="86" t="str">
        <f t="shared" si="319"/>
        <v>96,0576923076923</v>
      </c>
      <c r="Q390" s="4" t="str">
        <f t="shared" si="320"/>
        <v>1+440,160516673171i</v>
      </c>
      <c r="R390" s="4">
        <f t="shared" si="331"/>
        <v>440.161652620935</v>
      </c>
      <c r="S390" s="4">
        <f t="shared" si="332"/>
        <v>1.56852443224366</v>
      </c>
      <c r="T390" s="4" t="str">
        <f t="shared" si="321"/>
        <v>1+5,17042123659651i</v>
      </c>
      <c r="U390" s="4">
        <f t="shared" si="333"/>
        <v>5.26623734404823</v>
      </c>
      <c r="V390" s="4">
        <f t="shared" si="334"/>
        <v>1.37974734353364</v>
      </c>
      <c r="W390" t="str">
        <f t="shared" si="322"/>
        <v>1-2,45477765626394i</v>
      </c>
      <c r="X390" s="4">
        <f t="shared" si="335"/>
        <v>2.65064772116037</v>
      </c>
      <c r="Y390" s="4">
        <f t="shared" si="336"/>
        <v>-1.18395366097979</v>
      </c>
      <c r="Z390" t="str">
        <f t="shared" si="323"/>
        <v>0,977516500380913+4,2079559066498i</v>
      </c>
      <c r="AA390" s="4">
        <f t="shared" si="337"/>
        <v>4.32000363666813</v>
      </c>
      <c r="AB390" s="4">
        <f t="shared" si="338"/>
        <v>1.34254271504559</v>
      </c>
      <c r="AC390" s="67" t="str">
        <f t="shared" si="339"/>
        <v>-0,642044851151351-0,291599759230651i</v>
      </c>
      <c r="AD390" s="68">
        <f t="shared" si="340"/>
        <v>-3.03423452274497</v>
      </c>
      <c r="AE390" s="31">
        <f t="shared" si="341"/>
        <v>-155.573709753204</v>
      </c>
      <c r="AF390" s="32" t="str">
        <f t="shared" si="342"/>
        <v>236,914774604583</v>
      </c>
      <c r="AG390" s="32" t="str">
        <f t="shared" si="324"/>
        <v>1+108,696355542086i</v>
      </c>
      <c r="AH390" s="32">
        <f t="shared" si="343"/>
        <v>108.70095541499</v>
      </c>
      <c r="AI390" s="32">
        <f t="shared" si="344"/>
        <v>1.56159664587204</v>
      </c>
      <c r="AJ390" s="32" t="str">
        <f t="shared" si="325"/>
        <v>1+5,17042123659651i</v>
      </c>
      <c r="AK390" s="32">
        <f t="shared" si="345"/>
        <v>5.26623734404823</v>
      </c>
      <c r="AL390" s="32">
        <f t="shared" si="346"/>
        <v>1.37974734353364</v>
      </c>
      <c r="AM390" s="32" t="str">
        <f t="shared" si="326"/>
        <v>1-0,245778345181513i</v>
      </c>
      <c r="AN390" s="32">
        <f t="shared" si="347"/>
        <v>1.02976064935506</v>
      </c>
      <c r="AO390" s="32">
        <f t="shared" si="348"/>
        <v>-0.241001411169634</v>
      </c>
      <c r="AP390" s="30" t="str">
        <f t="shared" si="349"/>
        <v>10,778382451271-4,85023046428504i</v>
      </c>
      <c r="AQ390" s="32">
        <f t="shared" si="350"/>
        <v>21.451910087128</v>
      </c>
      <c r="AR390" s="31">
        <f t="shared" si="351"/>
        <v>-24.227561248106</v>
      </c>
      <c r="AS390" t="str">
        <f t="shared" si="327"/>
        <v>-0,000272527472527473</v>
      </c>
      <c r="AT390" t="str">
        <f t="shared" si="328"/>
        <v>0,074093982899441i</v>
      </c>
      <c r="AU390">
        <f t="shared" si="352"/>
        <v>0.074093982899441</v>
      </c>
      <c r="AV390">
        <f t="shared" si="353"/>
        <v>1.5707963267949</v>
      </c>
      <c r="AW390" t="str">
        <f t="shared" si="329"/>
        <v>1+3,79347602262256i</v>
      </c>
      <c r="AX390">
        <f t="shared" si="354"/>
        <v>3.92306771980962</v>
      </c>
      <c r="AY390">
        <f t="shared" si="355"/>
        <v>1.31304939491924</v>
      </c>
      <c r="AZ390" t="str">
        <f t="shared" si="330"/>
        <v>1+181,360438783678i</v>
      </c>
      <c r="BA390">
        <f t="shared" si="356"/>
        <v>181.363195703561</v>
      </c>
      <c r="BB390">
        <f t="shared" si="357"/>
        <v>1.56528250099808</v>
      </c>
      <c r="BC390" s="30" t="str">
        <f t="shared" si="358"/>
        <v>-0,0424363384105073+0,16465936455881i</v>
      </c>
      <c r="BD390" s="32">
        <f t="shared" si="359"/>
        <v>-15.3889859516252</v>
      </c>
      <c r="BE390" s="31">
        <f t="shared" si="360"/>
        <v>104.451892431793</v>
      </c>
      <c r="BF390" s="30" t="str">
        <f t="shared" si="361"/>
        <v>0,0752606636386035-0,0933442711457029i</v>
      </c>
      <c r="BG390" s="68">
        <f t="shared" si="362"/>
        <v>-18.4232204743702</v>
      </c>
      <c r="BH390" s="31">
        <f t="shared" si="363"/>
        <v>-51.1218173214108</v>
      </c>
      <c r="BI390" s="30" t="str">
        <f t="shared" si="369"/>
        <v>0,341240780992947+1,98058762674946i</v>
      </c>
      <c r="BJ390" s="68">
        <f t="shared" si="364"/>
        <v>6.06292413550272</v>
      </c>
      <c r="BK390" s="31">
        <f t="shared" si="370"/>
        <v>80.2243311836867</v>
      </c>
      <c r="BL390" s="32">
        <f t="shared" si="365"/>
        <v>-18.4232204743702</v>
      </c>
      <c r="BM390" s="31">
        <f t="shared" si="366"/>
        <v>-51.1218173214108</v>
      </c>
      <c r="BO390">
        <f t="shared" si="367"/>
        <v>0</v>
      </c>
      <c r="BP390">
        <f t="shared" si="368"/>
        <v>0</v>
      </c>
    </row>
    <row r="391" spans="14:68">
      <c r="N391" s="7">
        <v>73</v>
      </c>
      <c r="O391" s="18">
        <f t="shared" si="371"/>
        <v>53703.1796370254</v>
      </c>
      <c r="P391" s="86" t="str">
        <f t="shared" si="319"/>
        <v>96,0576923076923</v>
      </c>
      <c r="Q391" s="4" t="str">
        <f t="shared" si="320"/>
        <v>1+450,413172190333i</v>
      </c>
      <c r="R391" s="4">
        <f t="shared" si="331"/>
        <v>450.414282280834</v>
      </c>
      <c r="S391" s="4">
        <f t="shared" si="332"/>
        <v>1.56857614670542</v>
      </c>
      <c r="T391" s="4" t="str">
        <f t="shared" si="321"/>
        <v>1+5,29085581854881i</v>
      </c>
      <c r="U391" s="4">
        <f t="shared" si="333"/>
        <v>5.38452925450979</v>
      </c>
      <c r="V391" s="4">
        <f t="shared" si="334"/>
        <v>1.383994559509</v>
      </c>
      <c r="W391" t="str">
        <f t="shared" si="322"/>
        <v>1-2,51195677326226i</v>
      </c>
      <c r="X391" s="4">
        <f t="shared" si="335"/>
        <v>2.70368763557075</v>
      </c>
      <c r="Y391" s="4">
        <f t="shared" si="336"/>
        <v>-1.19193238649623</v>
      </c>
      <c r="Z391" t="str">
        <f t="shared" si="323"/>
        <v>0,976456885688762+4,30597179110115i</v>
      </c>
      <c r="AA391" s="4">
        <f t="shared" si="337"/>
        <v>4.41529853071883</v>
      </c>
      <c r="AB391" s="4">
        <f t="shared" si="338"/>
        <v>1.34779965445964</v>
      </c>
      <c r="AC391" s="67" t="str">
        <f t="shared" si="339"/>
        <v>-0,642840234930256-0,28497936147325i</v>
      </c>
      <c r="AD391" s="68">
        <f t="shared" si="340"/>
        <v>-3.0587164250095</v>
      </c>
      <c r="AE391" s="31">
        <f t="shared" si="341"/>
        <v>-156.091672963099</v>
      </c>
      <c r="AF391" s="32" t="str">
        <f t="shared" si="342"/>
        <v>236,914774604583</v>
      </c>
      <c r="AG391" s="32" t="str">
        <f t="shared" si="324"/>
        <v>1+111,228218912674i</v>
      </c>
      <c r="AH391" s="32">
        <f t="shared" si="343"/>
        <v>111.232714083968</v>
      </c>
      <c r="AI391" s="32">
        <f t="shared" si="344"/>
        <v>1.5618060447612</v>
      </c>
      <c r="AJ391" s="32" t="str">
        <f t="shared" si="325"/>
        <v>1+5,29085581854881i</v>
      </c>
      <c r="AK391" s="32">
        <f t="shared" si="345"/>
        <v>5.38452925450979</v>
      </c>
      <c r="AL391" s="32">
        <f t="shared" si="346"/>
        <v>1.383994559509</v>
      </c>
      <c r="AM391" s="32" t="str">
        <f t="shared" si="326"/>
        <v>1-0,251503258278602i</v>
      </c>
      <c r="AN391" s="32">
        <f t="shared" si="347"/>
        <v>1.03114203140244</v>
      </c>
      <c r="AO391" s="32">
        <f t="shared" si="348"/>
        <v>-0.246392993244888</v>
      </c>
      <c r="AP391" s="30" t="str">
        <f t="shared" si="349"/>
        <v>10,7775210818484-4,86739825835804i</v>
      </c>
      <c r="AQ391" s="32">
        <f t="shared" si="350"/>
        <v>21.4565168378293</v>
      </c>
      <c r="AR391" s="31">
        <f t="shared" si="351"/>
        <v>-24.3051262684309</v>
      </c>
      <c r="AS391" t="str">
        <f t="shared" si="327"/>
        <v>-0,000272527472527473</v>
      </c>
      <c r="AT391" t="str">
        <f t="shared" si="328"/>
        <v>0,0758198534711681i</v>
      </c>
      <c r="AU391">
        <f t="shared" si="352"/>
        <v>0.0758198534711681</v>
      </c>
      <c r="AV391">
        <f t="shared" si="353"/>
        <v>1.5707963267949</v>
      </c>
      <c r="AW391" t="str">
        <f t="shared" si="329"/>
        <v>1+3,88183743033474i</v>
      </c>
      <c r="AX391">
        <f t="shared" si="354"/>
        <v>4.0085735412423</v>
      </c>
      <c r="AY391">
        <f t="shared" si="355"/>
        <v>1.31866826836857</v>
      </c>
      <c r="AZ391" t="str">
        <f t="shared" si="330"/>
        <v>1+185,584866084301i</v>
      </c>
      <c r="BA391">
        <f t="shared" si="356"/>
        <v>185.587560249948</v>
      </c>
      <c r="BB391">
        <f t="shared" si="357"/>
        <v>1.56540800853873</v>
      </c>
      <c r="BC391" s="30" t="str">
        <f t="shared" si="358"/>
        <v>-0,040645250346315+0,161372661957223i</v>
      </c>
      <c r="BD391" s="32">
        <f t="shared" si="359"/>
        <v>-15.5762729061972</v>
      </c>
      <c r="BE391" s="31">
        <f t="shared" si="360"/>
        <v>104.137145749905</v>
      </c>
      <c r="BF391" s="30" t="str">
        <f t="shared" si="361"/>
        <v>0,0721162804452322-0,0921537824332888i</v>
      </c>
      <c r="BG391" s="68">
        <f t="shared" si="362"/>
        <v>-18.6349893312067</v>
      </c>
      <c r="BH391" s="31">
        <f t="shared" si="363"/>
        <v>-51.954527213194</v>
      </c>
      <c r="BI391" s="30" t="str">
        <f t="shared" si="369"/>
        <v>0,347409971272772+1,93703388702415i</v>
      </c>
      <c r="BJ391" s="68">
        <f t="shared" si="364"/>
        <v>5.88024393163213</v>
      </c>
      <c r="BK391" s="31">
        <f t="shared" si="370"/>
        <v>79.832019481474</v>
      </c>
      <c r="BL391" s="32">
        <f t="shared" si="365"/>
        <v>-18.6349893312067</v>
      </c>
      <c r="BM391" s="31">
        <f t="shared" si="366"/>
        <v>-51.954527213194</v>
      </c>
      <c r="BO391">
        <f t="shared" si="367"/>
        <v>0</v>
      </c>
      <c r="BP391">
        <f t="shared" si="368"/>
        <v>0</v>
      </c>
    </row>
    <row r="392" spans="14:68">
      <c r="N392" s="7">
        <v>74</v>
      </c>
      <c r="O392" s="18">
        <f t="shared" si="371"/>
        <v>54954.0873857625</v>
      </c>
      <c r="P392" s="86" t="str">
        <f t="shared" si="319"/>
        <v>96,0576923076923</v>
      </c>
      <c r="Q392" s="4" t="str">
        <f t="shared" si="320"/>
        <v>1+460,904642733311i</v>
      </c>
      <c r="R392" s="4">
        <f t="shared" si="331"/>
        <v>460.905727555127</v>
      </c>
      <c r="S392" s="4">
        <f t="shared" si="332"/>
        <v>1.56862668401379</v>
      </c>
      <c r="T392" s="4" t="str">
        <f t="shared" si="321"/>
        <v>1+5,41409568228884i</v>
      </c>
      <c r="U392" s="4">
        <f t="shared" si="333"/>
        <v>5.5056727161155</v>
      </c>
      <c r="V392" s="4">
        <f t="shared" si="334"/>
        <v>1.38815169642456</v>
      </c>
      <c r="W392" t="str">
        <f t="shared" si="322"/>
        <v>1-2,57046776299144i</v>
      </c>
      <c r="X392" s="4">
        <f t="shared" si="335"/>
        <v>2.75813424629372</v>
      </c>
      <c r="Y392" s="4">
        <f t="shared" si="336"/>
        <v>-1.19977877820096</v>
      </c>
      <c r="Z392" t="str">
        <f t="shared" si="323"/>
        <v>0,975347332894677+4,40627075879241i</v>
      </c>
      <c r="AA392" s="4">
        <f t="shared" si="337"/>
        <v>4.51292858569397</v>
      </c>
      <c r="AB392" s="4">
        <f t="shared" si="338"/>
        <v>1.35295453512379</v>
      </c>
      <c r="AC392" s="67" t="str">
        <f t="shared" si="339"/>
        <v>-0,643603239532729-0,278494652419061i</v>
      </c>
      <c r="AD392" s="68">
        <f t="shared" si="340"/>
        <v>-3.08225250524902</v>
      </c>
      <c r="AE392" s="31">
        <f t="shared" si="341"/>
        <v>-156.601300172494</v>
      </c>
      <c r="AF392" s="32" t="str">
        <f t="shared" si="342"/>
        <v>236,914774604583</v>
      </c>
      <c r="AG392" s="32" t="str">
        <f t="shared" si="324"/>
        <v>1+113,819056957208i</v>
      </c>
      <c r="AH392" s="32">
        <f t="shared" si="343"/>
        <v>113.823449809906</v>
      </c>
      <c r="AI392" s="32">
        <f t="shared" si="344"/>
        <v>1.56201067791156</v>
      </c>
      <c r="AJ392" s="32" t="str">
        <f t="shared" si="325"/>
        <v>1+5,41409568228884i</v>
      </c>
      <c r="AK392" s="32">
        <f t="shared" si="345"/>
        <v>5.5056727161155</v>
      </c>
      <c r="AL392" s="32">
        <f t="shared" si="346"/>
        <v>1.38815169642456</v>
      </c>
      <c r="AM392" s="32" t="str">
        <f t="shared" si="326"/>
        <v>1-0,25736152173227i</v>
      </c>
      <c r="AN392" s="32">
        <f t="shared" si="347"/>
        <v>1.03258653529297</v>
      </c>
      <c r="AO392" s="32">
        <f t="shared" si="348"/>
        <v>-0.251895063635431</v>
      </c>
      <c r="AP392" s="30" t="str">
        <f t="shared" si="349"/>
        <v>10,7766984743105-4,88714611419484i</v>
      </c>
      <c r="AQ392" s="32">
        <f t="shared" si="350"/>
        <v>21.4619449982079</v>
      </c>
      <c r="AR392" s="31">
        <f t="shared" si="351"/>
        <v>-24.3939098961376</v>
      </c>
      <c r="AS392" t="str">
        <f t="shared" si="327"/>
        <v>-0,000272527472527473</v>
      </c>
      <c r="AT392" t="str">
        <f t="shared" si="328"/>
        <v>0,0775859247327998i</v>
      </c>
      <c r="AU392">
        <f t="shared" si="352"/>
        <v>0.0775859247327998</v>
      </c>
      <c r="AV392">
        <f t="shared" si="353"/>
        <v>1.5707963267949</v>
      </c>
      <c r="AW392" t="str">
        <f t="shared" si="329"/>
        <v>1+3,97225703963466i</v>
      </c>
      <c r="AX392">
        <f t="shared" si="354"/>
        <v>4.09619652713674</v>
      </c>
      <c r="AY392">
        <f t="shared" si="355"/>
        <v>1.32417500340649</v>
      </c>
      <c r="AZ392" t="str">
        <f t="shared" si="330"/>
        <v>1+189,907692937427i</v>
      </c>
      <c r="BA392">
        <f t="shared" si="356"/>
        <v>189.910325777236</v>
      </c>
      <c r="BB392">
        <f t="shared" si="357"/>
        <v>1.565530659343</v>
      </c>
      <c r="BC392" s="30" t="str">
        <f t="shared" si="358"/>
        <v>-0,0389249392935555+0,158132453213258i</v>
      </c>
      <c r="BD392" s="32">
        <f t="shared" si="359"/>
        <v>-15.7640971704895</v>
      </c>
      <c r="BE392" s="31">
        <f t="shared" si="360"/>
        <v>103.828660446774</v>
      </c>
      <c r="BF392" s="30" t="str">
        <f t="shared" si="361"/>
        <v>0,0690912596217469-0,0909341717243188i</v>
      </c>
      <c r="BG392" s="68">
        <f t="shared" si="362"/>
        <v>-18.8463496757386</v>
      </c>
      <c r="BH392" s="31">
        <f t="shared" si="363"/>
        <v>-52.7726397257204</v>
      </c>
      <c r="BI392" s="30" t="str">
        <f t="shared" si="369"/>
        <v>0,353334070351783+1,89437763309606i</v>
      </c>
      <c r="BJ392" s="68">
        <f t="shared" si="364"/>
        <v>5.69784782771831</v>
      </c>
      <c r="BK392" s="31">
        <f t="shared" si="370"/>
        <v>79.4347505506361</v>
      </c>
      <c r="BL392" s="32">
        <f t="shared" si="365"/>
        <v>-18.8463496757386</v>
      </c>
      <c r="BM392" s="31">
        <f t="shared" si="366"/>
        <v>-52.7726397257204</v>
      </c>
      <c r="BO392">
        <f t="shared" si="367"/>
        <v>0</v>
      </c>
      <c r="BP392">
        <f t="shared" si="368"/>
        <v>0</v>
      </c>
    </row>
    <row r="393" spans="14:68">
      <c r="N393" s="7">
        <v>75</v>
      </c>
      <c r="O393" s="18">
        <f t="shared" si="371"/>
        <v>56234.132519035</v>
      </c>
      <c r="P393" s="86" t="str">
        <f t="shared" si="319"/>
        <v>96,0576923076923</v>
      </c>
      <c r="Q393" s="4" t="str">
        <f t="shared" si="320"/>
        <v>1+471,640491018662i</v>
      </c>
      <c r="R393" s="4">
        <f t="shared" si="331"/>
        <v>471.641551146975</v>
      </c>
      <c r="S393" s="4">
        <f t="shared" si="332"/>
        <v>1.56867607096329</v>
      </c>
      <c r="T393" s="4" t="str">
        <f t="shared" si="321"/>
        <v>1+5,54020617122366i</v>
      </c>
      <c r="U393" s="4">
        <f t="shared" si="333"/>
        <v>5.629732180101</v>
      </c>
      <c r="V393" s="4">
        <f t="shared" si="334"/>
        <v>1.39222038342679</v>
      </c>
      <c r="W393" t="str">
        <f t="shared" si="322"/>
        <v>1-2,63034164875273i</v>
      </c>
      <c r="X393" s="4">
        <f t="shared" si="335"/>
        <v>2.81401797953802</v>
      </c>
      <c r="Y393" s="4">
        <f t="shared" si="336"/>
        <v>-1.20749313076588</v>
      </c>
      <c r="Z393" t="str">
        <f t="shared" si="323"/>
        <v>0,974185488488421+4,50890598956387i</v>
      </c>
      <c r="AA393" s="4">
        <f t="shared" si="337"/>
        <v>4.61294597721525</v>
      </c>
      <c r="AB393" s="4">
        <f t="shared" si="338"/>
        <v>1.35800907324182</v>
      </c>
      <c r="AC393" s="67" t="str">
        <f t="shared" si="339"/>
        <v>-0,644335032566122-0,272143122366382i</v>
      </c>
      <c r="AD393" s="68">
        <f t="shared" si="340"/>
        <v>-3.10487351611034</v>
      </c>
      <c r="AE393" s="31">
        <f t="shared" si="341"/>
        <v>-157.102614788072</v>
      </c>
      <c r="AF393" s="32" t="str">
        <f t="shared" si="342"/>
        <v>236,914774604583</v>
      </c>
      <c r="AG393" s="32" t="str">
        <f t="shared" si="324"/>
        <v>1+116,470243372315i</v>
      </c>
      <c r="AH393" s="32">
        <f t="shared" si="343"/>
        <v>116.474536235206</v>
      </c>
      <c r="AI393" s="32">
        <f t="shared" si="344"/>
        <v>1.56221065375374</v>
      </c>
      <c r="AJ393" s="32" t="str">
        <f t="shared" si="325"/>
        <v>1+5,54020617122366i</v>
      </c>
      <c r="AK393" s="32">
        <f t="shared" si="345"/>
        <v>5.629732180101</v>
      </c>
      <c r="AL393" s="32">
        <f t="shared" si="346"/>
        <v>1.39222038342679</v>
      </c>
      <c r="AM393" s="32" t="str">
        <f t="shared" si="326"/>
        <v>1-0,263356241671343i</v>
      </c>
      <c r="AN393" s="32">
        <f t="shared" si="347"/>
        <v>1.03409695388162</v>
      </c>
      <c r="AO393" s="32">
        <f t="shared" si="348"/>
        <v>-0.257509206544466</v>
      </c>
      <c r="AP393" s="30" t="str">
        <f t="shared" si="349"/>
        <v>10,7759128846238-4,90948454889929i</v>
      </c>
      <c r="AQ393" s="32">
        <f t="shared" si="350"/>
        <v>21.4682029823245</v>
      </c>
      <c r="AR393" s="31">
        <f t="shared" si="351"/>
        <v>-24.4939157687826</v>
      </c>
      <c r="AS393" t="str">
        <f t="shared" si="327"/>
        <v>-0,000272527472527473</v>
      </c>
      <c r="AT393" t="str">
        <f t="shared" si="328"/>
        <v>0,0793931330786962i</v>
      </c>
      <c r="AU393">
        <f t="shared" si="352"/>
        <v>0.0793931330786962</v>
      </c>
      <c r="AV393">
        <f t="shared" si="353"/>
        <v>1.5707963267949</v>
      </c>
      <c r="AW393" t="str">
        <f t="shared" si="329"/>
        <v>1+4,06478279219604i</v>
      </c>
      <c r="AX393">
        <f t="shared" si="354"/>
        <v>4.18598365354346</v>
      </c>
      <c r="AY393">
        <f t="shared" si="355"/>
        <v>1.32957118331642</v>
      </c>
      <c r="AZ393" t="str">
        <f t="shared" si="330"/>
        <v>1+194,331211363074i</v>
      </c>
      <c r="BA393">
        <f t="shared" si="356"/>
        <v>194.333784272935</v>
      </c>
      <c r="BB393">
        <f t="shared" si="357"/>
        <v>1.5656505184272</v>
      </c>
      <c r="BC393" s="30" t="str">
        <f t="shared" si="358"/>
        <v>-0,0372730093150545+0,154939319675015i</v>
      </c>
      <c r="BD393" s="32">
        <f t="shared" si="359"/>
        <v>-15.9524374508845</v>
      </c>
      <c r="BE393" s="31">
        <f t="shared" si="360"/>
        <v>103.526349532102</v>
      </c>
      <c r="BF393" s="30" t="str">
        <f t="shared" si="361"/>
        <v>0,0661819759045346-0,0896892384535834i</v>
      </c>
      <c r="BG393" s="68">
        <f t="shared" si="362"/>
        <v>-19.0573109669948</v>
      </c>
      <c r="BH393" s="31">
        <f t="shared" si="363"/>
        <v>-53.57626525597</v>
      </c>
      <c r="BI393" s="30" t="str">
        <f t="shared" si="369"/>
        <v>0,359021494634655+1,85260387454408i</v>
      </c>
      <c r="BJ393" s="68">
        <f t="shared" si="364"/>
        <v>5.51576553144002</v>
      </c>
      <c r="BK393" s="31">
        <f t="shared" si="370"/>
        <v>79.0324337633197</v>
      </c>
      <c r="BL393" s="32">
        <f t="shared" si="365"/>
        <v>-19.0573109669948</v>
      </c>
      <c r="BM393" s="31">
        <f t="shared" si="366"/>
        <v>-53.57626525597</v>
      </c>
      <c r="BO393">
        <f t="shared" si="367"/>
        <v>0</v>
      </c>
      <c r="BP393">
        <f t="shared" si="368"/>
        <v>0</v>
      </c>
    </row>
    <row r="394" spans="14:68">
      <c r="N394" s="7">
        <v>76</v>
      </c>
      <c r="O394" s="18">
        <f t="shared" si="371"/>
        <v>57543.9937337157</v>
      </c>
      <c r="P394" s="86" t="str">
        <f t="shared" si="319"/>
        <v>96,0576923076923</v>
      </c>
      <c r="Q394" s="4" t="str">
        <f t="shared" si="320"/>
        <v>1+482,626409335251i</v>
      </c>
      <c r="R394" s="4">
        <f t="shared" si="331"/>
        <v>482.62744533215</v>
      </c>
      <c r="S394" s="4">
        <f t="shared" si="332"/>
        <v>1.56872433373856</v>
      </c>
      <c r="T394" s="4" t="str">
        <f t="shared" si="321"/>
        <v>1+5,66925415080376i</v>
      </c>
      <c r="U394" s="4">
        <f t="shared" si="333"/>
        <v>5.75677362994287</v>
      </c>
      <c r="V394" s="4">
        <f t="shared" si="334"/>
        <v>1.39620223869115</v>
      </c>
      <c r="W394" t="str">
        <f t="shared" si="322"/>
        <v>1-2,69161017647288i</v>
      </c>
      <c r="X394" s="4">
        <f t="shared" si="335"/>
        <v>2.87136994169897</v>
      </c>
      <c r="Y394" s="4">
        <f t="shared" si="336"/>
        <v>-1.21507586070109</v>
      </c>
      <c r="Z394" t="str">
        <f t="shared" si="323"/>
        <v>0,972968888042237+4,61393190197343i</v>
      </c>
      <c r="AA394" s="4">
        <f t="shared" si="337"/>
        <v>4.71540412405409</v>
      </c>
      <c r="AB394" s="4">
        <f t="shared" si="338"/>
        <v>1.36296499322491</v>
      </c>
      <c r="AC394" s="67" t="str">
        <f t="shared" si="339"/>
        <v>-0,645036751361583-0,265922280328335i</v>
      </c>
      <c r="AD394" s="68">
        <f t="shared" si="340"/>
        <v>-3.12660966179139</v>
      </c>
      <c r="AE394" s="31">
        <f t="shared" si="341"/>
        <v>-157.595648261234</v>
      </c>
      <c r="AF394" s="32" t="str">
        <f t="shared" si="342"/>
        <v>236,914774604583</v>
      </c>
      <c r="AG394" s="32" t="str">
        <f t="shared" si="324"/>
        <v>1+119,183183852124i</v>
      </c>
      <c r="AH394" s="32">
        <f t="shared" si="343"/>
        <v>119.187379001005</v>
      </c>
      <c r="AI394" s="32">
        <f t="shared" si="344"/>
        <v>1.56240607825357</v>
      </c>
      <c r="AJ394" s="32" t="str">
        <f t="shared" si="325"/>
        <v>1+5,66925415080376i</v>
      </c>
      <c r="AK394" s="32">
        <f t="shared" si="345"/>
        <v>5.75677362994287</v>
      </c>
      <c r="AL394" s="32">
        <f t="shared" si="346"/>
        <v>1.39620223869115</v>
      </c>
      <c r="AM394" s="32" t="str">
        <f t="shared" si="326"/>
        <v>1-0,269490596575682i</v>
      </c>
      <c r="AN394" s="32">
        <f t="shared" si="347"/>
        <v>1.03567619536355</v>
      </c>
      <c r="AO394" s="32">
        <f t="shared" si="348"/>
        <v>-0.263236982475443</v>
      </c>
      <c r="AP394" s="30" t="str">
        <f t="shared" si="349"/>
        <v>10,775162647202-4,93442545002967i</v>
      </c>
      <c r="AQ394" s="32">
        <f t="shared" si="350"/>
        <v>21.4753004466892</v>
      </c>
      <c r="AR394" s="31">
        <f t="shared" si="351"/>
        <v>-24.605146653398</v>
      </c>
      <c r="AS394" t="str">
        <f t="shared" si="327"/>
        <v>-0,000272527472527473</v>
      </c>
      <c r="AT394" t="str">
        <f t="shared" si="328"/>
        <v>0,081242436714643i</v>
      </c>
      <c r="AU394">
        <f t="shared" si="352"/>
        <v>0.081242436714643</v>
      </c>
      <c r="AV394">
        <f t="shared" si="353"/>
        <v>1.5707963267949</v>
      </c>
      <c r="AW394" t="str">
        <f t="shared" si="329"/>
        <v>1+4,15946374639761i</v>
      </c>
      <c r="AX394">
        <f t="shared" si="354"/>
        <v>4.27798301277554</v>
      </c>
      <c r="AY394">
        <f t="shared" si="355"/>
        <v>1.33485841164492</v>
      </c>
      <c r="AZ394" t="str">
        <f t="shared" si="330"/>
        <v>1+198,857766769264i</v>
      </c>
      <c r="BA394">
        <f t="shared" si="356"/>
        <v>198.860281113296</v>
      </c>
      <c r="BB394">
        <f t="shared" si="357"/>
        <v>1.56576764932842</v>
      </c>
      <c r="BC394" s="30" t="str">
        <f t="shared" si="358"/>
        <v>-0,0356871118926275+0,15179374466692i</v>
      </c>
      <c r="BD394" s="32">
        <f t="shared" si="359"/>
        <v>-16.1412731797165</v>
      </c>
      <c r="BE394" s="31">
        <f t="shared" si="360"/>
        <v>103.230124769848</v>
      </c>
      <c r="BF394" s="30" t="str">
        <f t="shared" si="361"/>
        <v>0,0633848374421022-0,0884225457641397i</v>
      </c>
      <c r="BG394" s="68">
        <f t="shared" si="362"/>
        <v>-19.2678828415078</v>
      </c>
      <c r="BH394" s="31">
        <f t="shared" si="363"/>
        <v>-54.3655234913864</v>
      </c>
      <c r="BI394" s="30" t="str">
        <f t="shared" si="369"/>
        <v>0,364480481787797+1,81169768077495i</v>
      </c>
      <c r="BJ394" s="68">
        <f t="shared" si="364"/>
        <v>5.33402726697273</v>
      </c>
      <c r="BK394" s="31">
        <f t="shared" si="370"/>
        <v>78.6249781164498</v>
      </c>
      <c r="BL394" s="32">
        <f t="shared" si="365"/>
        <v>-19.2678828415078</v>
      </c>
      <c r="BM394" s="31">
        <f t="shared" si="366"/>
        <v>-54.3655234913864</v>
      </c>
      <c r="BO394">
        <f t="shared" si="367"/>
        <v>0</v>
      </c>
      <c r="BP394">
        <f t="shared" si="368"/>
        <v>0</v>
      </c>
    </row>
    <row r="395" spans="14:68">
      <c r="N395" s="7">
        <v>77</v>
      </c>
      <c r="O395" s="18">
        <f t="shared" si="371"/>
        <v>58884.3655355589</v>
      </c>
      <c r="P395" s="86" t="str">
        <f t="shared" si="319"/>
        <v>96,0576923076923</v>
      </c>
      <c r="Q395" s="4" t="str">
        <f t="shared" si="320"/>
        <v>1+493,868222562385i</v>
      </c>
      <c r="R395" s="4">
        <f t="shared" si="331"/>
        <v>493.869234977164</v>
      </c>
      <c r="S395" s="4">
        <f t="shared" si="332"/>
        <v>1.56877149792827</v>
      </c>
      <c r="T395" s="4" t="str">
        <f t="shared" si="321"/>
        <v>1+5,80130804397606i</v>
      </c>
      <c r="U395" s="4">
        <f t="shared" si="333"/>
        <v>5.88686461718811</v>
      </c>
      <c r="V395" s="4">
        <f t="shared" si="334"/>
        <v>1.40009886813595</v>
      </c>
      <c r="W395" t="str">
        <f t="shared" si="322"/>
        <v>1-2,75430583153626i</v>
      </c>
      <c r="X395" s="4">
        <f t="shared" si="335"/>
        <v>2.93022193931358</v>
      </c>
      <c r="Y395" s="4">
        <f t="shared" si="336"/>
        <v>-1.22252749954802</v>
      </c>
      <c r="Z395" t="str">
        <f t="shared" si="323"/>
        <v>0,971694950983467+4,72140418215002i</v>
      </c>
      <c r="AA395" s="4">
        <f t="shared" si="337"/>
        <v>4.820357717949</v>
      </c>
      <c r="AB395" s="4">
        <f t="shared" si="338"/>
        <v>1.36782402515882</v>
      </c>
      <c r="AC395" s="67" t="str">
        <f t="shared" si="339"/>
        <v>-0,64570950267158-0,25982965519387i</v>
      </c>
      <c r="AD395" s="68">
        <f t="shared" si="340"/>
        <v>-3.14749057168497</v>
      </c>
      <c r="AE395" s="31">
        <f t="shared" si="341"/>
        <v>-158.080439627452</v>
      </c>
      <c r="AF395" s="32" t="str">
        <f t="shared" si="342"/>
        <v>236,914774604583</v>
      </c>
      <c r="AG395" s="32" t="str">
        <f t="shared" si="324"/>
        <v>1+121,959316833588i</v>
      </c>
      <c r="AH395" s="32">
        <f t="shared" si="343"/>
        <v>121.963416492469</v>
      </c>
      <c r="AI395" s="32">
        <f t="shared" si="344"/>
        <v>1.56259705496795</v>
      </c>
      <c r="AJ395" s="32" t="str">
        <f t="shared" si="325"/>
        <v>1+5,80130804397606i</v>
      </c>
      <c r="AK395" s="32">
        <f t="shared" si="345"/>
        <v>5.88686461718811</v>
      </c>
      <c r="AL395" s="32">
        <f t="shared" si="346"/>
        <v>1.40009886813595</v>
      </c>
      <c r="AM395" s="32" t="str">
        <f t="shared" si="326"/>
        <v>1-0,275767838961455i</v>
      </c>
      <c r="AN395" s="32">
        <f t="shared" si="347"/>
        <v>1.03732728731364</v>
      </c>
      <c r="AO395" s="32">
        <f t="shared" si="348"/>
        <v>-0.269079924445837</v>
      </c>
      <c r="AP395" s="30" t="str">
        <f t="shared" si="349"/>
        <v>10,7744461713795-4,96198208210866i</v>
      </c>
      <c r="AQ395" s="32">
        <f t="shared" si="350"/>
        <v>21.483248287261</v>
      </c>
      <c r="AR395" s="31">
        <f t="shared" si="351"/>
        <v>-24.7276043064477</v>
      </c>
      <c r="AS395" t="str">
        <f t="shared" si="327"/>
        <v>-0,000272527472527473</v>
      </c>
      <c r="AT395" t="str">
        <f t="shared" si="328"/>
        <v>0,0831348161659069i</v>
      </c>
      <c r="AU395">
        <f t="shared" si="352"/>
        <v>0.0831348161659069</v>
      </c>
      <c r="AV395">
        <f t="shared" si="353"/>
        <v>1.5707963267949</v>
      </c>
      <c r="AW395" t="str">
        <f t="shared" si="329"/>
        <v>1+4,25635010333452i</v>
      </c>
      <c r="AX395">
        <f t="shared" si="354"/>
        <v>4.37224384065617</v>
      </c>
      <c r="AY395">
        <f t="shared" si="355"/>
        <v>1.34003830880994</v>
      </c>
      <c r="AZ395" t="str">
        <f t="shared" si="330"/>
        <v>1+203,489759195589i</v>
      </c>
      <c r="BA395">
        <f t="shared" si="356"/>
        <v>203.492216306862</v>
      </c>
      <c r="BB395">
        <f t="shared" si="357"/>
        <v>1.56588211413814</v>
      </c>
      <c r="BC395" s="30" t="str">
        <f t="shared" si="358"/>
        <v>-0,0341649480548382+0,148696119056079i</v>
      </c>
      <c r="BD395" s="32">
        <f t="shared" si="359"/>
        <v>-16.3305845004407</v>
      </c>
      <c r="BE395" s="31">
        <f t="shared" si="360"/>
        <v>102.93989687448</v>
      </c>
      <c r="BF395" s="30" t="str">
        <f t="shared" si="361"/>
        <v>0,0606962929602976-0,0871374304120897i</v>
      </c>
      <c r="BG395" s="68">
        <f t="shared" si="362"/>
        <v>-19.4780750721257</v>
      </c>
      <c r="BH395" s="31">
        <f t="shared" si="363"/>
        <v>-55.1405427529721</v>
      </c>
      <c r="BI395" s="30" t="str">
        <f t="shared" si="369"/>
        <v>0,369719084670529+1,77164419074704i</v>
      </c>
      <c r="BJ395" s="68">
        <f t="shared" si="364"/>
        <v>5.15266378682025</v>
      </c>
      <c r="BK395" s="31">
        <f t="shared" si="370"/>
        <v>78.2122925680325</v>
      </c>
      <c r="BL395" s="32">
        <f t="shared" si="365"/>
        <v>-19.4780750721257</v>
      </c>
      <c r="BM395" s="31">
        <f t="shared" si="366"/>
        <v>-55.1405427529721</v>
      </c>
      <c r="BO395">
        <f t="shared" si="367"/>
        <v>0</v>
      </c>
      <c r="BP395">
        <f t="shared" si="368"/>
        <v>0</v>
      </c>
    </row>
    <row r="396" spans="14:68">
      <c r="N396" s="7">
        <v>78</v>
      </c>
      <c r="O396" s="18">
        <f t="shared" si="371"/>
        <v>60255.9586074359</v>
      </c>
      <c r="P396" s="86" t="str">
        <f t="shared" si="319"/>
        <v>96,0576923076923</v>
      </c>
      <c r="Q396" s="4" t="str">
        <f t="shared" si="320"/>
        <v>1+505,371891258242i</v>
      </c>
      <c r="R396" s="4">
        <f t="shared" si="331"/>
        <v>505.372880627693</v>
      </c>
      <c r="S396" s="4">
        <f t="shared" si="332"/>
        <v>1.56881758853865</v>
      </c>
      <c r="T396" s="4" t="str">
        <f t="shared" si="321"/>
        <v>1+5,93643786746269i</v>
      </c>
      <c r="U396" s="4">
        <f t="shared" si="333"/>
        <v>6.02007429806684</v>
      </c>
      <c r="V396" s="4">
        <f t="shared" si="334"/>
        <v>1.40391186424705</v>
      </c>
      <c r="W396" t="str">
        <f t="shared" si="322"/>
        <v>1-2,81846185600907i</v>
      </c>
      <c r="X396" s="4">
        <f t="shared" si="335"/>
        <v>2.99060649932051</v>
      </c>
      <c r="Y396" s="4">
        <f t="shared" si="336"/>
        <v>-1.2298486871496</v>
      </c>
      <c r="Z396" t="str">
        <f t="shared" si="323"/>
        <v>0,970360975120808+4,83137981331918i</v>
      </c>
      <c r="AA396" s="4">
        <f t="shared" si="337"/>
        <v>4.92786275403298</v>
      </c>
      <c r="AB396" s="4">
        <f t="shared" si="338"/>
        <v>1.3725879024404</v>
      </c>
      <c r="AC396" s="67" t="str">
        <f t="shared" si="339"/>
        <v>-0,646354362489562-0,25386279682504i</v>
      </c>
      <c r="AD396" s="68">
        <f t="shared" si="340"/>
        <v>-3.16754527746465</v>
      </c>
      <c r="AE396" s="31">
        <f t="shared" si="341"/>
        <v>-158.557035053383</v>
      </c>
      <c r="AF396" s="32" t="str">
        <f t="shared" si="342"/>
        <v>236,914774604583</v>
      </c>
      <c r="AG396" s="32" t="str">
        <f t="shared" si="324"/>
        <v>1+124,800114259159i</v>
      </c>
      <c r="AH396" s="32">
        <f t="shared" si="343"/>
        <v>124.804120601441</v>
      </c>
      <c r="AI396" s="32">
        <f t="shared" si="344"/>
        <v>1.56278368509953</v>
      </c>
      <c r="AJ396" s="32" t="str">
        <f t="shared" si="325"/>
        <v>1+5,93643786746269i</v>
      </c>
      <c r="AK396" s="32">
        <f t="shared" si="345"/>
        <v>6.02007429806684</v>
      </c>
      <c r="AL396" s="32">
        <f t="shared" si="346"/>
        <v>1.40391186424705</v>
      </c>
      <c r="AM396" s="32" t="str">
        <f t="shared" si="326"/>
        <v>1-0,282191297105665i</v>
      </c>
      <c r="AN396" s="32">
        <f t="shared" si="347"/>
        <v>1.03905338080494</v>
      </c>
      <c r="AO396" s="32">
        <f t="shared" si="348"/>
        <v>-0.275039533993676</v>
      </c>
      <c r="AP396" s="30" t="str">
        <f t="shared" si="349"/>
        <v>10,7737619380428-4,99216909384983i</v>
      </c>
      <c r="AQ396" s="32">
        <f t="shared" si="350"/>
        <v>21.4920586357386</v>
      </c>
      <c r="AR396" s="31">
        <f t="shared" si="351"/>
        <v>-24.8612893154879</v>
      </c>
      <c r="AS396" t="str">
        <f t="shared" si="327"/>
        <v>-0,000272527472527473</v>
      </c>
      <c r="AT396" t="str">
        <f t="shared" si="328"/>
        <v>0,0850712747971214i</v>
      </c>
      <c r="AU396">
        <f t="shared" si="352"/>
        <v>0.0850712747971214</v>
      </c>
      <c r="AV396">
        <f t="shared" si="353"/>
        <v>1.5707963267949</v>
      </c>
      <c r="AW396" t="str">
        <f t="shared" si="329"/>
        <v>1+4,35549323343569i</v>
      </c>
      <c r="AX396">
        <f t="shared" si="354"/>
        <v>4.46881654428822</v>
      </c>
      <c r="AY396">
        <f t="shared" si="355"/>
        <v>1.34511250890362</v>
      </c>
      <c r="AZ396" t="str">
        <f t="shared" si="330"/>
        <v>1+208,229644585744i</v>
      </c>
      <c r="BA396">
        <f t="shared" si="356"/>
        <v>208.232045766989</v>
      </c>
      <c r="BB396">
        <f t="shared" si="357"/>
        <v>1.56599397353513</v>
      </c>
      <c r="BC396" s="30" t="str">
        <f t="shared" si="358"/>
        <v>-0,0327042701522988+0,145646746674411i</v>
      </c>
      <c r="BD396" s="32">
        <f t="shared" si="359"/>
        <v>-16.5203522522041</v>
      </c>
      <c r="BE396" s="31">
        <f t="shared" si="360"/>
        <v>102.655575696054</v>
      </c>
      <c r="BF396" s="30" t="str">
        <f t="shared" si="361"/>
        <v>0,0581128381442096-0,0858370126064334i</v>
      </c>
      <c r="BG396" s="68">
        <f t="shared" si="362"/>
        <v>-19.6878975296687</v>
      </c>
      <c r="BH396" s="31">
        <f t="shared" si="363"/>
        <v>-55.9014593573285</v>
      </c>
      <c r="BI396" s="30" t="str">
        <f t="shared" si="369"/>
        <v>0,374745166389464+1,73242862241175i</v>
      </c>
      <c r="BJ396" s="68">
        <f t="shared" si="364"/>
        <v>4.97170638353449</v>
      </c>
      <c r="BK396" s="31">
        <f t="shared" si="370"/>
        <v>77.794286380566</v>
      </c>
      <c r="BL396" s="32">
        <f t="shared" si="365"/>
        <v>-19.6878975296687</v>
      </c>
      <c r="BM396" s="31">
        <f t="shared" si="366"/>
        <v>-55.9014593573285</v>
      </c>
      <c r="BO396">
        <f t="shared" si="367"/>
        <v>0</v>
      </c>
      <c r="BP396">
        <f t="shared" si="368"/>
        <v>0</v>
      </c>
    </row>
    <row r="397" spans="14:68">
      <c r="N397" s="7">
        <v>79</v>
      </c>
      <c r="O397" s="18">
        <f t="shared" si="371"/>
        <v>61659.5001861482</v>
      </c>
      <c r="P397" s="86" t="str">
        <f t="shared" si="319"/>
        <v>96,0576923076923</v>
      </c>
      <c r="Q397" s="4" t="str">
        <f t="shared" si="320"/>
        <v>1+517,143514820228i</v>
      </c>
      <c r="R397" s="4">
        <f t="shared" si="331"/>
        <v>517.144481668923</v>
      </c>
      <c r="S397" s="4">
        <f t="shared" si="332"/>
        <v>1.56886263000678</v>
      </c>
      <c r="T397" s="4" t="str">
        <f t="shared" si="321"/>
        <v>1+6,07471526888465i</v>
      </c>
      <c r="U397" s="4">
        <f t="shared" si="333"/>
        <v>6.15647347091014</v>
      </c>
      <c r="V397" s="4">
        <f t="shared" si="334"/>
        <v>1.4076428050076</v>
      </c>
      <c r="W397" t="str">
        <f t="shared" si="322"/>
        <v>1-2,88411226626468i</v>
      </c>
      <c r="X397" s="4">
        <f t="shared" si="335"/>
        <v>3.05255688962849</v>
      </c>
      <c r="Y397" s="4">
        <f t="shared" si="336"/>
        <v>-1.23704016502189</v>
      </c>
      <c r="Z397" t="str">
        <f t="shared" si="323"/>
        <v>0,968964130912607+4,94391710601619i</v>
      </c>
      <c r="AA397" s="4">
        <f t="shared" si="337"/>
        <v>5.03797656189017</v>
      </c>
      <c r="AB397" s="4">
        <f t="shared" si="338"/>
        <v>1.37725835957708</v>
      </c>
      <c r="AC397" s="67" t="str">
        <f t="shared" si="339"/>
        <v>-0,646972375980736-0,248019277088251i</v>
      </c>
      <c r="AD397" s="68">
        <f t="shared" si="340"/>
        <v>-3.18680219346133</v>
      </c>
      <c r="AE397" s="31">
        <f t="shared" si="341"/>
        <v>-159.025487393089</v>
      </c>
      <c r="AF397" s="32" t="str">
        <f t="shared" si="342"/>
        <v>236,914774604583</v>
      </c>
      <c r="AG397" s="32" t="str">
        <f t="shared" si="324"/>
        <v>1+127,707082357234i</v>
      </c>
      <c r="AH397" s="32">
        <f t="shared" si="343"/>
        <v>127.710997506861</v>
      </c>
      <c r="AI397" s="32">
        <f t="shared" si="344"/>
        <v>1.56296606755003</v>
      </c>
      <c r="AJ397" s="32" t="str">
        <f t="shared" si="325"/>
        <v>1+6,07471526888465i</v>
      </c>
      <c r="AK397" s="32">
        <f t="shared" si="345"/>
        <v>6.15647347091014</v>
      </c>
      <c r="AL397" s="32">
        <f t="shared" si="346"/>
        <v>1.4076428050076</v>
      </c>
      <c r="AM397" s="32" t="str">
        <f t="shared" si="326"/>
        <v>1-0,288764376810842i</v>
      </c>
      <c r="AN397" s="32">
        <f t="shared" si="347"/>
        <v>1.04085775460192</v>
      </c>
      <c r="AO397" s="32">
        <f t="shared" si="348"/>
        <v>-0.281117276973893</v>
      </c>
      <c r="AP397" s="30" t="str">
        <f t="shared" si="349"/>
        <v>10,773108496414-5,02500252610482i</v>
      </c>
      <c r="AQ397" s="32">
        <f t="shared" si="350"/>
        <v>21.5017448550317</v>
      </c>
      <c r="AR397" s="31">
        <f t="shared" si="351"/>
        <v>-25.0062009226976</v>
      </c>
      <c r="AS397" t="str">
        <f t="shared" si="327"/>
        <v>-0,000272527472527473</v>
      </c>
      <c r="AT397" t="str">
        <f t="shared" si="328"/>
        <v>0,0870528393442845i</v>
      </c>
      <c r="AU397">
        <f t="shared" si="352"/>
        <v>0.0870528393442845</v>
      </c>
      <c r="AV397">
        <f t="shared" si="353"/>
        <v>1.5707963267949</v>
      </c>
      <c r="AW397" t="str">
        <f t="shared" si="329"/>
        <v>1+4,45694570370097i</v>
      </c>
      <c r="AX397">
        <f t="shared" si="354"/>
        <v>4.56775273036299</v>
      </c>
      <c r="AY397">
        <f t="shared" si="355"/>
        <v>1.35008265668419</v>
      </c>
      <c r="AZ397" t="str">
        <f t="shared" si="330"/>
        <v>1+213,079936089703i</v>
      </c>
      <c r="BA397">
        <f t="shared" si="356"/>
        <v>213.082282613998</v>
      </c>
      <c r="BB397">
        <f t="shared" si="357"/>
        <v>1.56610328681751</v>
      </c>
      <c r="BC397" s="30" t="str">
        <f t="shared" si="358"/>
        <v>-0,0313028833063686+0,142645849584912i</v>
      </c>
      <c r="BD397" s="32">
        <f t="shared" si="359"/>
        <v>-16.7105579539204</v>
      </c>
      <c r="BE397" s="31">
        <f t="shared" si="360"/>
        <v>102.377070394396</v>
      </c>
      <c r="BF397" s="30" t="str">
        <f t="shared" si="361"/>
        <v>0,0556310212814583-0,0845242057413178i</v>
      </c>
      <c r="BG397" s="68">
        <f t="shared" si="362"/>
        <v>-19.8973601473817</v>
      </c>
      <c r="BH397" s="31">
        <f t="shared" si="363"/>
        <v>-56.6484169986931</v>
      </c>
      <c r="BI397" s="30" t="str">
        <f t="shared" si="369"/>
        <v>0,379566396392455+1,69403628183028i</v>
      </c>
      <c r="BJ397" s="68">
        <f t="shared" si="364"/>
        <v>4.79118690111131</v>
      </c>
      <c r="BK397" s="31">
        <f t="shared" si="370"/>
        <v>77.3708694716983</v>
      </c>
      <c r="BL397" s="32">
        <f t="shared" si="365"/>
        <v>-19.8973601473817</v>
      </c>
      <c r="BM397" s="31">
        <f t="shared" si="366"/>
        <v>-56.6484169986931</v>
      </c>
      <c r="BO397">
        <f t="shared" si="367"/>
        <v>0</v>
      </c>
      <c r="BP397">
        <f t="shared" si="368"/>
        <v>0</v>
      </c>
    </row>
    <row r="398" spans="14:68">
      <c r="N398" s="7">
        <v>80</v>
      </c>
      <c r="O398" s="18">
        <f t="shared" si="371"/>
        <v>63095.7344480193</v>
      </c>
      <c r="P398" s="86" t="str">
        <f t="shared" si="319"/>
        <v>96,0576923076923</v>
      </c>
      <c r="Q398" s="4" t="str">
        <f t="shared" si="320"/>
        <v>1+529,189334718978i</v>
      </c>
      <c r="R398" s="4">
        <f t="shared" si="331"/>
        <v>529.19027955955</v>
      </c>
      <c r="S398" s="4">
        <f t="shared" si="332"/>
        <v>1.5689066462135</v>
      </c>
      <c r="T398" s="4" t="str">
        <f t="shared" si="321"/>
        <v>1+6,21621356475056i</v>
      </c>
      <c r="U398" s="4">
        <f t="shared" si="333"/>
        <v>6.29613461439548</v>
      </c>
      <c r="V398" s="4">
        <f t="shared" si="334"/>
        <v>1.41129325292687</v>
      </c>
      <c r="W398" t="str">
        <f t="shared" si="322"/>
        <v>1-2,95129187101962i</v>
      </c>
      <c r="X398" s="4">
        <f t="shared" si="335"/>
        <v>3.116107139998</v>
      </c>
      <c r="Y398" s="4">
        <f t="shared" si="336"/>
        <v>-1.24410276984853</v>
      </c>
      <c r="Z398" t="str">
        <f t="shared" si="323"/>
        <v>0,967501455465021+5,05907572900332i</v>
      </c>
      <c r="AA398" s="4">
        <f t="shared" si="337"/>
        <v>5.15075783726214</v>
      </c>
      <c r="AB398" s="4">
        <f t="shared" si="338"/>
        <v>1.38183713014277</v>
      </c>
      <c r="AC398" s="67" t="str">
        <f t="shared" si="339"/>
        <v>-0,647564557513474-0,242296690817864i</v>
      </c>
      <c r="AD398" s="68">
        <f t="shared" si="340"/>
        <v>-3.20528910017135</v>
      </c>
      <c r="AE398" s="31">
        <f t="shared" si="341"/>
        <v>-159.485855754566</v>
      </c>
      <c r="AF398" s="32" t="str">
        <f t="shared" si="342"/>
        <v>236,914774604583</v>
      </c>
      <c r="AG398" s="32" t="str">
        <f t="shared" si="324"/>
        <v>1+130,681762440779i</v>
      </c>
      <c r="AH398" s="32">
        <f t="shared" si="343"/>
        <v>130.685588473359</v>
      </c>
      <c r="AI398" s="32">
        <f t="shared" si="344"/>
        <v>1.56314429897247</v>
      </c>
      <c r="AJ398" s="32" t="str">
        <f t="shared" si="325"/>
        <v>1+6,21621356475056i</v>
      </c>
      <c r="AK398" s="32">
        <f t="shared" si="345"/>
        <v>6.29613461439548</v>
      </c>
      <c r="AL398" s="32">
        <f t="shared" si="346"/>
        <v>1.41129325292687</v>
      </c>
      <c r="AM398" s="32" t="str">
        <f t="shared" si="326"/>
        <v>1-0,295490563210854i</v>
      </c>
      <c r="AN398" s="32">
        <f t="shared" si="347"/>
        <v>1.04274381942386</v>
      </c>
      <c r="AO398" s="32">
        <f t="shared" si="348"/>
        <v>-0.287314579142372</v>
      </c>
      <c r="AP398" s="30" t="str">
        <f t="shared" si="349"/>
        <v>10,7724844609778-5,06049982053692i</v>
      </c>
      <c r="AQ398" s="32">
        <f t="shared" si="350"/>
        <v>21.5123215337885</v>
      </c>
      <c r="AR398" s="31">
        <f t="shared" si="351"/>
        <v>-25.1623368304947</v>
      </c>
      <c r="AS398" t="str">
        <f t="shared" si="327"/>
        <v>-0,000272527472527473</v>
      </c>
      <c r="AT398" t="str">
        <f t="shared" si="328"/>
        <v>0,0890805604591486i</v>
      </c>
      <c r="AU398">
        <f t="shared" si="352"/>
        <v>0.0890805604591486</v>
      </c>
      <c r="AV398">
        <f t="shared" si="353"/>
        <v>1.5707963267949</v>
      </c>
      <c r="AW398" t="str">
        <f t="shared" si="329"/>
        <v>1+4,56076130557302i</v>
      </c>
      <c r="AX398">
        <f t="shared" si="354"/>
        <v>4.66910523402634</v>
      </c>
      <c r="AY398">
        <f t="shared" si="355"/>
        <v>1.35495040475154</v>
      </c>
      <c r="AZ398" t="str">
        <f t="shared" si="330"/>
        <v>1+218,043205396225i</v>
      </c>
      <c r="BA398">
        <f t="shared" si="356"/>
        <v>218.045498507675</v>
      </c>
      <c r="BB398">
        <f t="shared" si="357"/>
        <v>1.56621011193417</v>
      </c>
      <c r="BC398" s="30" t="str">
        <f t="shared" si="358"/>
        <v>-0,0299586465562874+0,139693573182578i</v>
      </c>
      <c r="BD398" s="32">
        <f t="shared" si="359"/>
        <v>-16.9011837879499</v>
      </c>
      <c r="BE398" s="31">
        <f t="shared" si="360"/>
        <v>102.104289602734</v>
      </c>
      <c r="BF398" s="30" t="str">
        <f t="shared" si="361"/>
        <v>0,0532474482115866-0,0832017259834818i</v>
      </c>
      <c r="BG398" s="68">
        <f t="shared" si="362"/>
        <v>-20.1064728881212</v>
      </c>
      <c r="BH398" s="31">
        <f t="shared" si="363"/>
        <v>-57.3815661518316</v>
      </c>
      <c r="BI398" s="30" t="str">
        <f t="shared" si="369"/>
        <v>0,384190247521065+1,65645257192941i</v>
      </c>
      <c r="BJ398" s="68">
        <f t="shared" si="364"/>
        <v>4.61113774583862</v>
      </c>
      <c r="BK398" s="31">
        <f t="shared" si="370"/>
        <v>76.9419527722395</v>
      </c>
      <c r="BL398" s="32">
        <f t="shared" si="365"/>
        <v>-20.1064728881212</v>
      </c>
      <c r="BM398" s="31">
        <f t="shared" si="366"/>
        <v>-57.3815661518316</v>
      </c>
      <c r="BO398">
        <f t="shared" si="367"/>
        <v>0</v>
      </c>
      <c r="BP398">
        <f t="shared" si="368"/>
        <v>0</v>
      </c>
    </row>
    <row r="399" spans="14:68">
      <c r="N399" s="7">
        <v>81</v>
      </c>
      <c r="O399" s="18">
        <f t="shared" si="371"/>
        <v>64565.4229034657</v>
      </c>
      <c r="P399" s="86" t="str">
        <f t="shared" si="319"/>
        <v>96,0576923076923</v>
      </c>
      <c r="Q399" s="4" t="str">
        <f t="shared" si="320"/>
        <v>1+541,515737807646i</v>
      </c>
      <c r="R399" s="4">
        <f t="shared" si="331"/>
        <v>541.516661141058</v>
      </c>
      <c r="S399" s="4">
        <f t="shared" si="332"/>
        <v>1.56894966049611</v>
      </c>
      <c r="T399" s="4" t="str">
        <f t="shared" si="321"/>
        <v>1+6,36100777932983i</v>
      </c>
      <c r="U399" s="4">
        <f t="shared" si="333"/>
        <v>6.43913192664156</v>
      </c>
      <c r="V399" s="4">
        <f t="shared" si="334"/>
        <v>1.41486475416282</v>
      </c>
      <c r="W399" t="str">
        <f t="shared" si="322"/>
        <v>1-3,02003628978953i</v>
      </c>
      <c r="X399" s="4">
        <f t="shared" si="335"/>
        <v>3.18129206324187</v>
      </c>
      <c r="Y399" s="4">
        <f t="shared" si="336"/>
        <v>-1.25103742711662</v>
      </c>
      <c r="Z399" t="str">
        <f t="shared" si="323"/>
        <v>0,965969846247319+5,17691674090676i</v>
      </c>
      <c r="AA399" s="4">
        <f t="shared" si="337"/>
        <v>5.26626667442314</v>
      </c>
      <c r="AB399" s="4">
        <f t="shared" si="338"/>
        <v>1.38632594488371</v>
      </c>
      <c r="AC399" s="67" t="str">
        <f t="shared" si="339"/>
        <v>-0,648131890781477-0,236692656711287i</v>
      </c>
      <c r="AD399" s="68">
        <f t="shared" si="340"/>
        <v>-3.22303313073005</v>
      </c>
      <c r="AE399" s="31">
        <f t="shared" si="341"/>
        <v>-159.938205077576</v>
      </c>
      <c r="AF399" s="32" t="str">
        <f t="shared" si="342"/>
        <v>236,914774604583</v>
      </c>
      <c r="AG399" s="32" t="str">
        <f t="shared" si="324"/>
        <v>1+133,725731724547i</v>
      </c>
      <c r="AH399" s="32">
        <f t="shared" si="343"/>
        <v>133.729470668456</v>
      </c>
      <c r="AI399" s="32">
        <f t="shared" si="344"/>
        <v>1.5633184738222</v>
      </c>
      <c r="AJ399" s="32" t="str">
        <f t="shared" si="325"/>
        <v>1+6,36100777932983i</v>
      </c>
      <c r="AK399" s="32">
        <f t="shared" si="345"/>
        <v>6.43913192664156</v>
      </c>
      <c r="AL399" s="32">
        <f t="shared" si="346"/>
        <v>1.41486475416282</v>
      </c>
      <c r="AM399" s="32" t="str">
        <f t="shared" si="326"/>
        <v>1-0,302373422618761i</v>
      </c>
      <c r="AN399" s="32">
        <f t="shared" si="347"/>
        <v>1.04471512227314</v>
      </c>
      <c r="AO399" s="32">
        <f t="shared" si="348"/>
        <v>-0.293632821526572</v>
      </c>
      <c r="AP399" s="30" t="str">
        <f t="shared" si="349"/>
        <v>10,771888508548-5,09867982902616i</v>
      </c>
      <c r="AQ399" s="32">
        <f t="shared" si="350"/>
        <v>21.5238044798462</v>
      </c>
      <c r="AR399" s="31">
        <f t="shared" si="351"/>
        <v>-25.3296929894914</v>
      </c>
      <c r="AS399" t="str">
        <f t="shared" si="327"/>
        <v>-0,000272527472527473</v>
      </c>
      <c r="AT399" t="str">
        <f t="shared" si="328"/>
        <v>0,091155513266289i</v>
      </c>
      <c r="AU399">
        <f t="shared" si="352"/>
        <v>0.091155513266289</v>
      </c>
      <c r="AV399">
        <f t="shared" si="353"/>
        <v>1.5707963267949</v>
      </c>
      <c r="AW399" t="str">
        <f t="shared" si="329"/>
        <v>1+4,6669950834581i</v>
      </c>
      <c r="AX399">
        <f t="shared" si="354"/>
        <v>4.77292814831965</v>
      </c>
      <c r="AY399">
        <f t="shared" si="355"/>
        <v>1.35971741090023</v>
      </c>
      <c r="AZ399" t="str">
        <f t="shared" si="330"/>
        <v>1+223,12208409639i</v>
      </c>
      <c r="BA399">
        <f t="shared" si="356"/>
        <v>223.124325010781</v>
      </c>
      <c r="BB399">
        <f t="shared" si="357"/>
        <v>1.56631450551545</v>
      </c>
      <c r="BC399" s="30" t="str">
        <f t="shared" si="358"/>
        <v>-0,0286694737288921+0,136789991122659i</v>
      </c>
      <c r="BD399" s="32">
        <f t="shared" si="359"/>
        <v>-17.0922125834681</v>
      </c>
      <c r="BE399" s="31">
        <f t="shared" si="360"/>
        <v>101.837141581117</v>
      </c>
      <c r="BF399" s="30" t="str">
        <f t="shared" si="361"/>
        <v>0,0509587866259522-0,0818721016829045i</v>
      </c>
      <c r="BG399" s="68">
        <f t="shared" si="362"/>
        <v>-20.3152457141982</v>
      </c>
      <c r="BH399" s="31">
        <f t="shared" si="363"/>
        <v>-58.1010634964587</v>
      </c>
      <c r="BI399" s="30" t="str">
        <f t="shared" si="369"/>
        <v>0,388623993943397+1,61966300086885i</v>
      </c>
      <c r="BJ399" s="68">
        <f t="shared" si="364"/>
        <v>4.43159189637812</v>
      </c>
      <c r="BK399" s="31">
        <f t="shared" si="370"/>
        <v>76.5074485916257</v>
      </c>
      <c r="BL399" s="32">
        <f t="shared" si="365"/>
        <v>-20.3152457141982</v>
      </c>
      <c r="BM399" s="31">
        <f t="shared" si="366"/>
        <v>-58.1010634964587</v>
      </c>
      <c r="BO399">
        <f t="shared" si="367"/>
        <v>0</v>
      </c>
      <c r="BP399">
        <f t="shared" si="368"/>
        <v>0</v>
      </c>
    </row>
    <row r="400" spans="14:68">
      <c r="N400" s="7">
        <v>82</v>
      </c>
      <c r="O400" s="18">
        <f t="shared" si="371"/>
        <v>66069.3448007597</v>
      </c>
      <c r="P400" s="86" t="str">
        <f t="shared" si="319"/>
        <v>96,0576923076923</v>
      </c>
      <c r="Q400" s="4" t="str">
        <f t="shared" si="320"/>
        <v>1+554,129259708305i</v>
      </c>
      <c r="R400" s="4">
        <f t="shared" si="331"/>
        <v>554.130162024117</v>
      </c>
      <c r="S400" s="4">
        <f t="shared" si="332"/>
        <v>1.56899169566071</v>
      </c>
      <c r="T400" s="4" t="str">
        <f t="shared" si="321"/>
        <v>1+6,50917468443157i</v>
      </c>
      <c r="U400" s="4">
        <f t="shared" si="333"/>
        <v>6.58554136517605</v>
      </c>
      <c r="V400" s="4">
        <f t="shared" si="334"/>
        <v>1.41835883773282</v>
      </c>
      <c r="W400" t="str">
        <f t="shared" si="322"/>
        <v>1-3,09038197177519i</v>
      </c>
      <c r="X400" s="4">
        <f t="shared" si="335"/>
        <v>3.24814727675226</v>
      </c>
      <c r="Y400" s="4">
        <f t="shared" si="336"/>
        <v>-1.25784514491043</v>
      </c>
      <c r="Z400" t="str">
        <f t="shared" si="323"/>
        <v>0,964366054511007+5,2975026225908i</v>
      </c>
      <c r="AA400" s="4">
        <f t="shared" si="337"/>
        <v>5.38456459924566</v>
      </c>
      <c r="AB400" s="4">
        <f t="shared" si="338"/>
        <v>1.39072652996762</v>
      </c>
      <c r="AC400" s="67" t="str">
        <f t="shared" si="339"/>
        <v>-0,648675329007366-0,231204818155176i</v>
      </c>
      <c r="AD400" s="68">
        <f t="shared" si="340"/>
        <v>-3.24006076018177</v>
      </c>
      <c r="AE400" s="31">
        <f t="shared" si="341"/>
        <v>-160.382605723669</v>
      </c>
      <c r="AF400" s="32" t="str">
        <f t="shared" si="342"/>
        <v>236,914774604583</v>
      </c>
      <c r="AG400" s="32" t="str">
        <f t="shared" si="324"/>
        <v>1+136,840604161345i</v>
      </c>
      <c r="AH400" s="32">
        <f t="shared" si="343"/>
        <v>136.844257998799</v>
      </c>
      <c r="AI400" s="32">
        <f t="shared" si="344"/>
        <v>1.56348868440674</v>
      </c>
      <c r="AJ400" s="32" t="str">
        <f t="shared" si="325"/>
        <v>1+6,50917468443157i</v>
      </c>
      <c r="AK400" s="32">
        <f t="shared" si="345"/>
        <v>6.58554136517605</v>
      </c>
      <c r="AL400" s="32">
        <f t="shared" si="346"/>
        <v>1.41835883773282</v>
      </c>
      <c r="AM400" s="32" t="str">
        <f t="shared" si="326"/>
        <v>1-0,309416604417724i</v>
      </c>
      <c r="AN400" s="32">
        <f t="shared" si="347"/>
        <v>1.04677535082242</v>
      </c>
      <c r="AO400" s="32">
        <f t="shared" si="348"/>
        <v>-0.300073335582715</v>
      </c>
      <c r="AP400" s="30" t="str">
        <f t="shared" si="349"/>
        <v>10,7713193754635-5,13956282381123i</v>
      </c>
      <c r="AQ400" s="32">
        <f t="shared" si="350"/>
        <v>21.5362107124568</v>
      </c>
      <c r="AR400" s="31">
        <f t="shared" si="351"/>
        <v>-25.5082633690984</v>
      </c>
      <c r="AS400" t="str">
        <f t="shared" si="327"/>
        <v>-0,000272527472527473</v>
      </c>
      <c r="AT400" t="str">
        <f t="shared" si="328"/>
        <v>0,0932787979331488i</v>
      </c>
      <c r="AU400">
        <f t="shared" si="352"/>
        <v>0.0932787979331488</v>
      </c>
      <c r="AV400">
        <f t="shared" si="353"/>
        <v>1.5707963267949</v>
      </c>
      <c r="AW400" t="str">
        <f t="shared" si="329"/>
        <v>1+4,77570336391141i</v>
      </c>
      <c r="AX400">
        <f t="shared" si="354"/>
        <v>4.87927685421464</v>
      </c>
      <c r="AY400">
        <f t="shared" si="355"/>
        <v>1.36438533564385</v>
      </c>
      <c r="AZ400" t="str">
        <f t="shared" si="330"/>
        <v>1+228,319265078913i</v>
      </c>
      <c r="BA400">
        <f t="shared" si="356"/>
        <v>228.32145498436</v>
      </c>
      <c r="BB400">
        <f t="shared" si="357"/>
        <v>1.5664165229031</v>
      </c>
      <c r="BC400" s="30" t="str">
        <f t="shared" si="358"/>
        <v>-0,0274333340540663+0,133935110070714i</v>
      </c>
      <c r="BD400" s="32">
        <f t="shared" si="359"/>
        <v>-17.2836277996074</v>
      </c>
      <c r="BE400" s="31">
        <f t="shared" si="360"/>
        <v>101.575534359972</v>
      </c>
      <c r="BF400" s="30" t="str">
        <f t="shared" si="361"/>
        <v>0,0487617697617833-0,0805376825793976i</v>
      </c>
      <c r="BG400" s="68">
        <f t="shared" si="362"/>
        <v>-20.5236885597892</v>
      </c>
      <c r="BH400" s="31">
        <f t="shared" si="363"/>
        <v>-58.8070713636971</v>
      </c>
      <c r="BI400" s="30" t="str">
        <f t="shared" si="369"/>
        <v>0,39287470989238+1,58365318999699i</v>
      </c>
      <c r="BJ400" s="68">
        <f t="shared" si="364"/>
        <v>4.25258291284932</v>
      </c>
      <c r="BK400" s="31">
        <f t="shared" si="370"/>
        <v>76.0672709908737</v>
      </c>
      <c r="BL400" s="32">
        <f t="shared" si="365"/>
        <v>-20.5236885597892</v>
      </c>
      <c r="BM400" s="31">
        <f t="shared" si="366"/>
        <v>-58.8070713636971</v>
      </c>
      <c r="BO400">
        <f t="shared" si="367"/>
        <v>0</v>
      </c>
      <c r="BP400">
        <f t="shared" si="368"/>
        <v>0</v>
      </c>
    </row>
    <row r="401" spans="14:68">
      <c r="N401" s="7">
        <v>83</v>
      </c>
      <c r="O401" s="18">
        <f t="shared" si="371"/>
        <v>67608.2975391983</v>
      </c>
      <c r="P401" s="86" t="str">
        <f t="shared" si="319"/>
        <v>96,0576923076923</v>
      </c>
      <c r="Q401" s="4" t="str">
        <f t="shared" si="320"/>
        <v>1+567,036588277232i</v>
      </c>
      <c r="R401" s="4">
        <f t="shared" si="331"/>
        <v>567.037470053861</v>
      </c>
      <c r="S401" s="4">
        <f t="shared" si="332"/>
        <v>1.56903277399431</v>
      </c>
      <c r="T401" s="4" t="str">
        <f t="shared" si="321"/>
        <v>1+6,66079284011013i</v>
      </c>
      <c r="U401" s="4">
        <f t="shared" si="333"/>
        <v>6.7354406877993</v>
      </c>
      <c r="V401" s="4">
        <f t="shared" si="334"/>
        <v>1.42177701480753</v>
      </c>
      <c r="W401" t="str">
        <f t="shared" si="322"/>
        <v>1-3,16236621518834i</v>
      </c>
      <c r="X401" s="4">
        <f t="shared" si="335"/>
        <v>3.31670922436149</v>
      </c>
      <c r="Y401" s="4">
        <f t="shared" si="336"/>
        <v>-1.26452700787665</v>
      </c>
      <c r="Z401" t="str">
        <f t="shared" si="323"/>
        <v>0,962686678398785+5,42089731028609i</v>
      </c>
      <c r="AA401" s="4">
        <f t="shared" si="337"/>
        <v>5.50571460297693</v>
      </c>
      <c r="AB401" s="4">
        <f t="shared" si="338"/>
        <v>1.39504060536987</v>
      </c>
      <c r="AC401" s="67" t="str">
        <f t="shared" si="339"/>
        <v>-0,649195795218847-0,225830843982934i</v>
      </c>
      <c r="AD401" s="68">
        <f t="shared" si="340"/>
        <v>-3.25639779737564</v>
      </c>
      <c r="AE401" s="31">
        <f t="shared" si="341"/>
        <v>-160.819133079104</v>
      </c>
      <c r="AF401" s="32" t="str">
        <f t="shared" si="342"/>
        <v>236,914774604583</v>
      </c>
      <c r="AG401" s="32" t="str">
        <f t="shared" si="324"/>
        <v>1+140,02803129777i</v>
      </c>
      <c r="AH401" s="32">
        <f t="shared" si="343"/>
        <v>140.031601965875</v>
      </c>
      <c r="AI401" s="32">
        <f t="shared" si="344"/>
        <v>1.56365502093451</v>
      </c>
      <c r="AJ401" s="32" t="str">
        <f t="shared" si="325"/>
        <v>1+6,66079284011013i</v>
      </c>
      <c r="AK401" s="32">
        <f t="shared" si="345"/>
        <v>6.7354406877993</v>
      </c>
      <c r="AL401" s="32">
        <f t="shared" si="346"/>
        <v>1.42177701480753</v>
      </c>
      <c r="AM401" s="32" t="str">
        <f t="shared" si="326"/>
        <v>1-0,316623842995964i</v>
      </c>
      <c r="AN401" s="32">
        <f t="shared" si="347"/>
        <v>1.04892833785418</v>
      </c>
      <c r="AO401" s="32">
        <f t="shared" si="348"/>
        <v>-0.306637398140752</v>
      </c>
      <c r="AP401" s="30" t="str">
        <f t="shared" si="349"/>
        <v>10,7707758549133-5,18317050837523i</v>
      </c>
      <c r="AQ401" s="32">
        <f t="shared" si="350"/>
        <v>21.5495584531333</v>
      </c>
      <c r="AR401" s="31">
        <f t="shared" si="351"/>
        <v>-25.6980397111447</v>
      </c>
      <c r="AS401" t="str">
        <f t="shared" si="327"/>
        <v>-0,000272527472527473</v>
      </c>
      <c r="AT401" t="str">
        <f t="shared" si="328"/>
        <v>0,0954515402533637i</v>
      </c>
      <c r="AU401">
        <f t="shared" si="352"/>
        <v>0.0954515402533637</v>
      </c>
      <c r="AV401">
        <f t="shared" si="353"/>
        <v>1.5707963267949</v>
      </c>
      <c r="AW401" t="str">
        <f t="shared" si="329"/>
        <v>1+4,88694378550218i</v>
      </c>
      <c r="AX401">
        <f t="shared" si="354"/>
        <v>4.98820805126033</v>
      </c>
      <c r="AY401">
        <f t="shared" si="355"/>
        <v>1.36895583990437</v>
      </c>
      <c r="AZ401" t="str">
        <f t="shared" si="330"/>
        <v>1+233,637503957944i</v>
      </c>
      <c r="BA401">
        <f t="shared" si="356"/>
        <v>233.639644015519</v>
      </c>
      <c r="BB401">
        <f t="shared" si="357"/>
        <v>1.56651621817959</v>
      </c>
      <c r="BC401" s="30" t="str">
        <f t="shared" si="358"/>
        <v>-0,0262482525480272+0,131128874270597i</v>
      </c>
      <c r="BD401" s="32">
        <f t="shared" si="359"/>
        <v>-17.4754135084457</v>
      </c>
      <c r="BE401" s="31">
        <f t="shared" si="360"/>
        <v>101.319375874178</v>
      </c>
      <c r="BF401" s="30" t="str">
        <f t="shared" si="361"/>
        <v>0,0466531995330826-0,0792006487822542i</v>
      </c>
      <c r="BG401" s="68">
        <f t="shared" si="362"/>
        <v>-20.7318113058214</v>
      </c>
      <c r="BH401" s="31">
        <f t="shared" si="363"/>
        <v>-59.4997572049262</v>
      </c>
      <c r="BI401" s="30" t="str">
        <f t="shared" si="369"/>
        <v>0,396949269137844+1,54840888137903i</v>
      </c>
      <c r="BJ401" s="68">
        <f t="shared" si="364"/>
        <v>4.07414494468756</v>
      </c>
      <c r="BK401" s="31">
        <f t="shared" si="370"/>
        <v>75.6213361630334</v>
      </c>
      <c r="BL401" s="32">
        <f t="shared" si="365"/>
        <v>-20.7318113058214</v>
      </c>
      <c r="BM401" s="31">
        <f t="shared" si="366"/>
        <v>-59.4997572049262</v>
      </c>
      <c r="BO401">
        <f t="shared" si="367"/>
        <v>0</v>
      </c>
      <c r="BP401">
        <f t="shared" si="368"/>
        <v>0</v>
      </c>
    </row>
    <row r="402" spans="14:68">
      <c r="N402" s="7">
        <v>84</v>
      </c>
      <c r="O402" s="18">
        <f t="shared" si="371"/>
        <v>69183.0970918937</v>
      </c>
      <c r="P402" s="86" t="str">
        <f t="shared" si="319"/>
        <v>96,0576923076923</v>
      </c>
      <c r="Q402" s="4" t="str">
        <f t="shared" si="320"/>
        <v>1+580,244567150877i</v>
      </c>
      <c r="R402" s="4">
        <f t="shared" si="331"/>
        <v>580.245428855849</v>
      </c>
      <c r="S402" s="4">
        <f t="shared" si="332"/>
        <v>1.56907291727663</v>
      </c>
      <c r="T402" s="4" t="str">
        <f t="shared" si="321"/>
        <v>1+6,81594263631849i</v>
      </c>
      <c r="U402" s="4">
        <f t="shared" si="333"/>
        <v>6.88890949436732</v>
      </c>
      <c r="V402" s="4">
        <f t="shared" si="334"/>
        <v>1.42512077808273</v>
      </c>
      <c r="W402" t="str">
        <f t="shared" si="322"/>
        <v>1-3,23602718702763i</v>
      </c>
      <c r="X402" s="4">
        <f t="shared" si="335"/>
        <v>3.38701519854605</v>
      </c>
      <c r="Y402" s="4">
        <f t="shared" si="336"/>
        <v>-1.27108417137274</v>
      </c>
      <c r="Z402" t="str">
        <f t="shared" si="323"/>
        <v>0,960928155728764+5,54716622948933i</v>
      </c>
      <c r="AA402" s="4">
        <f t="shared" si="337"/>
        <v>5.62978117674738</v>
      </c>
      <c r="AB402" s="4">
        <f t="shared" si="338"/>
        <v>1.39926988339007</v>
      </c>
      <c r="AC402" s="67" t="str">
        <f t="shared" si="339"/>
        <v>-0,649694182589357-0,220568429164165i</v>
      </c>
      <c r="AD402" s="68">
        <f t="shared" si="340"/>
        <v>-3.27206937931411</v>
      </c>
      <c r="AE402" s="31">
        <f t="shared" si="341"/>
        <v>-161.247867171245</v>
      </c>
      <c r="AF402" s="32" t="str">
        <f t="shared" si="342"/>
        <v>236,914774604583</v>
      </c>
      <c r="AG402" s="32" t="str">
        <f t="shared" si="324"/>
        <v>1+143,289703149877i</v>
      </c>
      <c r="AH402" s="32">
        <f t="shared" si="343"/>
        <v>143.293192541655</v>
      </c>
      <c r="AI402" s="32">
        <f t="shared" si="344"/>
        <v>1.5638175715625</v>
      </c>
      <c r="AJ402" s="32" t="str">
        <f t="shared" si="325"/>
        <v>1+6,81594263631849i</v>
      </c>
      <c r="AK402" s="32">
        <f t="shared" si="345"/>
        <v>6.88890949436732</v>
      </c>
      <c r="AL402" s="32">
        <f t="shared" si="346"/>
        <v>1.42512077808273</v>
      </c>
      <c r="AM402" s="32" t="str">
        <f t="shared" si="326"/>
        <v>1-0,323998959726771i</v>
      </c>
      <c r="AN402" s="32">
        <f t="shared" si="347"/>
        <v>1.0511780657453</v>
      </c>
      <c r="AO402" s="32">
        <f t="shared" si="348"/>
        <v>-0.313326226139683</v>
      </c>
      <c r="AP402" s="30" t="str">
        <f t="shared" si="349"/>
        <v>10,7702567943786-5,2295260290809i</v>
      </c>
      <c r="AQ402" s="32">
        <f t="shared" si="350"/>
        <v>21.5638671149481</v>
      </c>
      <c r="AR402" s="31">
        <f t="shared" si="351"/>
        <v>-25.8990112669537</v>
      </c>
      <c r="AS402" t="str">
        <f t="shared" si="327"/>
        <v>-0,000272527472527473</v>
      </c>
      <c r="AT402" t="str">
        <f t="shared" si="328"/>
        <v>0,0976748922436713i</v>
      </c>
      <c r="AU402">
        <f t="shared" si="352"/>
        <v>0.0976748922436713</v>
      </c>
      <c r="AV402">
        <f t="shared" si="353"/>
        <v>1.5707963267949</v>
      </c>
      <c r="AW402" t="str">
        <f t="shared" si="329"/>
        <v>1+5,00077532937434i</v>
      </c>
      <c r="AX402">
        <f t="shared" si="354"/>
        <v>5.09977978886138</v>
      </c>
      <c r="AY402">
        <f t="shared" si="355"/>
        <v>1.37343058285995</v>
      </c>
      <c r="AZ402" t="str">
        <f t="shared" si="330"/>
        <v>1+239,07962053413i</v>
      </c>
      <c r="BA402">
        <f t="shared" si="356"/>
        <v>239.081711878478</v>
      </c>
      <c r="BB402">
        <f t="shared" si="357"/>
        <v>1.56661364419674</v>
      </c>
      <c r="BC402" s="30" t="str">
        <f t="shared" si="358"/>
        <v>-0,0251123101854911+0,128371169928053i</v>
      </c>
      <c r="BD402" s="32">
        <f t="shared" si="359"/>
        <v>-17.6675543779089</v>
      </c>
      <c r="BE402" s="31">
        <f t="shared" si="360"/>
        <v>101.068574088015</v>
      </c>
      <c r="BF402" s="30" t="str">
        <f t="shared" si="361"/>
        <v>0,0446299491398898-0,0778630195041488i</v>
      </c>
      <c r="BG402" s="68">
        <f t="shared" si="362"/>
        <v>-20.939623757223</v>
      </c>
      <c r="BH402" s="31">
        <f t="shared" si="363"/>
        <v>-60.1792930832304</v>
      </c>
      <c r="BI402" s="30" t="str">
        <f t="shared" si="369"/>
        <v>0,400854345124492+1,51391594488532i</v>
      </c>
      <c r="BJ402" s="68">
        <f t="shared" si="364"/>
        <v>3.89631273703914</v>
      </c>
      <c r="BK402" s="31">
        <f t="shared" si="370"/>
        <v>75.1695628210611</v>
      </c>
      <c r="BL402" s="32">
        <f t="shared" si="365"/>
        <v>-20.939623757223</v>
      </c>
      <c r="BM402" s="31">
        <f t="shared" si="366"/>
        <v>-60.1792930832304</v>
      </c>
      <c r="BO402">
        <f t="shared" si="367"/>
        <v>0</v>
      </c>
      <c r="BP402">
        <f t="shared" si="368"/>
        <v>0</v>
      </c>
    </row>
    <row r="403" spans="14:68">
      <c r="N403" s="7">
        <v>85</v>
      </c>
      <c r="O403" s="18">
        <f t="shared" si="371"/>
        <v>70794.5784384138</v>
      </c>
      <c r="P403" s="86" t="str">
        <f t="shared" ref="P403:P466" si="372">COMPLEX(Adc,0)</f>
        <v>96,0576923076923</v>
      </c>
      <c r="Q403" s="4" t="str">
        <f t="shared" ref="Q403:Q466" si="373">IMSUM(COMPLEX(1,0),IMDIV(COMPLEX(0,2*PI()*O403),COMPLEX(wp_lf,0)))</f>
        <v>1+593,760199374472i</v>
      </c>
      <c r="R403" s="4">
        <f t="shared" si="331"/>
        <v>593.761041464673</v>
      </c>
      <c r="S403" s="4">
        <f t="shared" si="332"/>
        <v>1.56911214679165</v>
      </c>
      <c r="T403" s="4" t="str">
        <f t="shared" ref="T403:T466" si="374">IMSUM(COMPLEX(1,0),IMDIV(COMPLEX(0,2*PI()*O403),COMPLEX(wz_esr,0)))</f>
        <v>1+6,97470633553232i</v>
      </c>
      <c r="U403" s="4">
        <f t="shared" si="333"/>
        <v>7.04602926951873</v>
      </c>
      <c r="V403" s="4">
        <f t="shared" si="334"/>
        <v>1.42839160122457</v>
      </c>
      <c r="W403" t="str">
        <f t="shared" ref="W403:W466" si="375">IMSUB(COMPLEX(1,0),IMDIV(COMPLEX(0,2*PI()*O403),COMPLEX(wz_rhp,0)))</f>
        <v>1-3,31140394331538i</v>
      </c>
      <c r="X403" s="4">
        <f t="shared" si="335"/>
        <v>3.45910336298363</v>
      </c>
      <c r="Y403" s="4">
        <f t="shared" si="336"/>
        <v>-1.27751785580801</v>
      </c>
      <c r="Z403" t="str">
        <f t="shared" ref="Z403:Z466" si="376">IMSUM(COMPLEX(1,0),IMDIV(COMPLEX(0,2*PI()*O403),COMPLEX(Q*(wsl/2),0)),IMDIV(IMPOWER(COMPLEX(0,2*PI()*O403),2),IMPOWER(COMPLEX(wsl/2,0),2)))</f>
        <v>0,95908675643859+5,67637632965288i</v>
      </c>
      <c r="AA403" s="4">
        <f t="shared" si="337"/>
        <v>5.75683034683318</v>
      </c>
      <c r="AB403" s="4">
        <f t="shared" si="338"/>
        <v>1.40341606729279</v>
      </c>
      <c r="AC403" s="67" t="str">
        <f t="shared" si="339"/>
        <v>-0,650171354835449-0,215415295427036i</v>
      </c>
      <c r="AD403" s="68">
        <f t="shared" si="340"/>
        <v>-3.28709996778434</v>
      </c>
      <c r="AE403" s="31">
        <f t="shared" si="341"/>
        <v>-161.668892298898</v>
      </c>
      <c r="AF403" s="32" t="str">
        <f t="shared" si="342"/>
        <v>236,914774604583</v>
      </c>
      <c r="AG403" s="32" t="str">
        <f t="shared" ref="AG403:AG466" si="377">IMSUM(COMPLEX(1,0),IMDIV(COMPLEX(0,2*PI()*O403),COMPLEX(wp_lf_DCM,0)))</f>
        <v>1+146,627349099259i</v>
      </c>
      <c r="AH403" s="32">
        <f t="shared" si="343"/>
        <v>146.630759064652</v>
      </c>
      <c r="AI403" s="32">
        <f t="shared" si="344"/>
        <v>1.56397642244283</v>
      </c>
      <c r="AJ403" s="32" t="str">
        <f t="shared" ref="AJ403:AJ466" si="378">IMSUM(COMPLEX(1,0),IMDIV(COMPLEX(0,2*PI()*O403),COMPLEX(wz1_dcm,0)))</f>
        <v>1+6,97470633553232i</v>
      </c>
      <c r="AK403" s="32">
        <f t="shared" si="345"/>
        <v>7.04602926951873</v>
      </c>
      <c r="AL403" s="32">
        <f t="shared" si="346"/>
        <v>1.42839160122457</v>
      </c>
      <c r="AM403" s="32" t="str">
        <f t="shared" ref="AM403:AM466" si="379">IMSUB(COMPLEX(1,0),IMDIV(COMPLEX(0,2*PI()*O403),COMPLEX(wz2_dcm,0)))</f>
        <v>1-0,331545864994659i</v>
      </c>
      <c r="AN403" s="32">
        <f t="shared" si="347"/>
        <v>1.05352867098862</v>
      </c>
      <c r="AO403" s="32">
        <f t="shared" si="348"/>
        <v>-0.320140971157381</v>
      </c>
      <c r="AP403" s="30" t="str">
        <f t="shared" si="349"/>
        <v>10,7697610931919-5,27865398756216i</v>
      </c>
      <c r="AQ403" s="32">
        <f t="shared" si="350"/>
        <v>21.5791572901083</v>
      </c>
      <c r="AR403" s="31">
        <f t="shared" si="351"/>
        <v>-26.1111645183798</v>
      </c>
      <c r="AS403" t="str">
        <f t="shared" ref="AS403:AS466" si="380">COMPLEX(Adc_ea,0)</f>
        <v>-0,000272527472527473</v>
      </c>
      <c r="AT403" t="str">
        <f t="shared" ref="AT403:AT466" si="381">COMPLEX(0,2*PI()*O403*wp0_ea)</f>
        <v>0,0999500327547266i</v>
      </c>
      <c r="AU403">
        <f t="shared" si="352"/>
        <v>0.0999500327547266</v>
      </c>
      <c r="AV403">
        <f t="shared" si="353"/>
        <v>1.5707963267949</v>
      </c>
      <c r="AW403" t="str">
        <f t="shared" ref="AW403:AW466" si="382">IMSUM(COMPLEX(1,0),IMDIV(COMPLEX(0,2*PI()*O403),COMPLEX(wp1_ea,0)))</f>
        <v>1+5,11725835051924i</v>
      </c>
      <c r="AX403">
        <f t="shared" si="354"/>
        <v>5.21405149820741</v>
      </c>
      <c r="AY403">
        <f t="shared" si="355"/>
        <v>1.37781121994472</v>
      </c>
      <c r="AZ403" t="str">
        <f t="shared" ref="AZ403:AZ466" si="383">IMSUM(COMPLEX(1,0),IMDIV(COMPLEX(0,2*PI()*O403),COMPLEX(wz_ea,0)))</f>
        <v>1+244,648500289717i</v>
      </c>
      <c r="BA403">
        <f t="shared" si="356"/>
        <v>244.650544029658</v>
      </c>
      <c r="BB403">
        <f t="shared" si="357"/>
        <v>1.56670885260372</v>
      </c>
      <c r="BC403" s="30" t="str">
        <f t="shared" si="358"/>
        <v>-0,02402364388064+0,125661829408853i</v>
      </c>
      <c r="BD403" s="32">
        <f t="shared" si="359"/>
        <v>-17.8600356546509</v>
      </c>
      <c r="BE403" s="31">
        <f t="shared" si="360"/>
        <v>100.823037111373</v>
      </c>
      <c r="BF403" s="30" t="str">
        <f t="shared" si="361"/>
        <v>0,0426889651959699-0,0765266615340731i</v>
      </c>
      <c r="BG403" s="68">
        <f t="shared" si="362"/>
        <v>-21.1471356224352</v>
      </c>
      <c r="BH403" s="31">
        <f t="shared" si="363"/>
        <v>-60.8458551875257</v>
      </c>
      <c r="BI403" s="30" t="str">
        <f t="shared" si="369"/>
        <v>0,404596411710984+1,4801603848331i</v>
      </c>
      <c r="BJ403" s="68">
        <f t="shared" si="364"/>
        <v>3.71912163545739</v>
      </c>
      <c r="BK403" s="31">
        <f t="shared" si="370"/>
        <v>74.7118725929929</v>
      </c>
      <c r="BL403" s="32">
        <f t="shared" si="365"/>
        <v>-21.1471356224352</v>
      </c>
      <c r="BM403" s="31">
        <f t="shared" si="366"/>
        <v>-60.8458551875257</v>
      </c>
      <c r="BO403">
        <f t="shared" si="367"/>
        <v>0</v>
      </c>
      <c r="BP403">
        <f t="shared" si="368"/>
        <v>0</v>
      </c>
    </row>
    <row r="404" spans="14:68">
      <c r="N404" s="7">
        <v>86</v>
      </c>
      <c r="O404" s="18">
        <f t="shared" si="371"/>
        <v>72443.5960074991</v>
      </c>
      <c r="P404" s="86" t="str">
        <f t="shared" si="372"/>
        <v>96,0576923076923</v>
      </c>
      <c r="Q404" s="4" t="str">
        <f t="shared" si="373"/>
        <v>1+607,590651115121i</v>
      </c>
      <c r="R404" s="4">
        <f t="shared" ref="R404:R467" si="384">IMABS(Q404)</f>
        <v>607.591474037035</v>
      </c>
      <c r="S404" s="4">
        <f t="shared" ref="S404:S467" si="385">IMARGUMENT(Q404)</f>
        <v>1.56915048333889</v>
      </c>
      <c r="T404" s="4" t="str">
        <f t="shared" si="374"/>
        <v>1+7,13716811636641i</v>
      </c>
      <c r="U404" s="4">
        <f t="shared" ref="U404:U467" si="386">IMABS(T404)</f>
        <v>7.20688342636935</v>
      </c>
      <c r="V404" s="4">
        <f t="shared" ref="V404:V467" si="387">IMARGUMENT(T404)</f>
        <v>1.43159093838336</v>
      </c>
      <c r="W404" t="str">
        <f t="shared" si="375"/>
        <v>1-3,38853644980549i</v>
      </c>
      <c r="X404" s="4">
        <f t="shared" ref="X404:X467" si="388">IMABS(W404)</f>
        <v>3.5330127754737</v>
      </c>
      <c r="Y404" s="4">
        <f t="shared" ref="Y404:Y467" si="389">IMARGUMENT(W404)</f>
        <v>-1.28382934118467</v>
      </c>
      <c r="Z404" t="str">
        <f t="shared" si="376"/>
        <v>0,957158574673488+5,80859611968215i</v>
      </c>
      <c r="AA404" s="4">
        <f t="shared" ref="AA404:AA467" si="390">IMABS(Z404)</f>
        <v>5.88692971069449</v>
      </c>
      <c r="AB404" s="4">
        <f t="shared" ref="AB404:AB467" si="391">IMARGUMENT(Z404)</f>
        <v>1.40748085006633</v>
      </c>
      <c r="AC404" s="67" t="str">
        <f t="shared" ref="AC404:AC467" si="392">(IMDIV(IMPRODUCT(P404,T404,W404),IMPRODUCT(Q404,Z404)))</f>
        <v>-0,650628146663799-0,21036919181493i</v>
      </c>
      <c r="AD404" s="68">
        <f t="shared" ref="AD404:AD467" si="393">20*LOG(IMABS(AC404))</f>
        <v>-3.30151334810374</v>
      </c>
      <c r="AE404" s="31">
        <f t="shared" ref="AE404:AE467" si="394">(180/PI())*IMARGUMENT(AC404)</f>
        <v>-162.08229667692</v>
      </c>
      <c r="AF404" s="32" t="str">
        <f t="shared" ref="AF404:AF467" si="395">COMPLEX($B$68,0)</f>
        <v>236,914774604583</v>
      </c>
      <c r="AG404" s="32" t="str">
        <f t="shared" si="377"/>
        <v>1+150,042738809976i</v>
      </c>
      <c r="AH404" s="32">
        <f t="shared" ref="AH404:AH467" si="396">IMABS(AG404)</f>
        <v>150.046071156824</v>
      </c>
      <c r="AI404" s="32">
        <f t="shared" ref="AI404:AI467" si="397">IMARGUMENT(AG404)</f>
        <v>1.56413165776826</v>
      </c>
      <c r="AJ404" s="32" t="str">
        <f t="shared" si="378"/>
        <v>1+7,13716811636641i</v>
      </c>
      <c r="AK404" s="32">
        <f t="shared" ref="AK404:AK467" si="398">IMABS(AJ404)</f>
        <v>7.20688342636935</v>
      </c>
      <c r="AL404" s="32">
        <f t="shared" ref="AL404:AL467" si="399">IMARGUMENT(AJ404)</f>
        <v>1.43159093838336</v>
      </c>
      <c r="AM404" s="32" t="str">
        <f t="shared" si="379"/>
        <v>1-0,339268560268696i</v>
      </c>
      <c r="AN404" s="32">
        <f t="shared" ref="AN404:AN467" si="400">IMABS(AM404)</f>
        <v>1.05598444874288</v>
      </c>
      <c r="AO404" s="32">
        <f t="shared" ref="AO404:AO467" si="401">IMARGUMENT(AM404)</f>
        <v>-0.327082713740669</v>
      </c>
      <c r="AP404" s="30" t="str">
        <f t="shared" ref="AP404:AP467" si="402">(IMDIV(IMPRODUCT(AF404,AJ404,AM404),IMPRODUCT(AG404)))</f>
        <v>10,7692877002051-5,33058045387976i</v>
      </c>
      <c r="AQ404" s="32">
        <f t="shared" ref="AQ404:AQ467" si="403">20*LOG(IMABS(AP404))</f>
        <v>21.5954507356235</v>
      </c>
      <c r="AR404" s="31">
        <f t="shared" ref="AR404:AR467" si="404">(180/PI())*IMARGUMENT(AP404)</f>
        <v>-26.3344828834085</v>
      </c>
      <c r="AS404" t="str">
        <f t="shared" si="380"/>
        <v>-0,000272527472527473</v>
      </c>
      <c r="AT404" t="str">
        <f t="shared" si="381"/>
        <v>0,102278168096144i</v>
      </c>
      <c r="AU404">
        <f t="shared" ref="AU404:AU467" si="405">IMABS(AT404)</f>
        <v>0.102278168096144</v>
      </c>
      <c r="AV404">
        <f t="shared" ref="AV404:AV467" si="406">IMARGUMENT(AT404)</f>
        <v>1.5707963267949</v>
      </c>
      <c r="AW404" t="str">
        <f t="shared" si="382"/>
        <v>1+5,23645460977652i</v>
      </c>
      <c r="AX404">
        <f t="shared" ref="AX404:AX467" si="407">IMABS(AW404)</f>
        <v>5.33108402487241</v>
      </c>
      <c r="AY404">
        <f t="shared" ref="AY404:AY467" si="408">IMARGUMENT(AW404)</f>
        <v>1.38209940099393</v>
      </c>
      <c r="AZ404" t="str">
        <f t="shared" si="383"/>
        <v>1+250,347095918464i</v>
      </c>
      <c r="BA404">
        <f t="shared" ref="BA404:BA467" si="409">IMABS(AZ404)</f>
        <v>250.34909313758</v>
      </c>
      <c r="BB404">
        <f t="shared" ref="BB404:BB467" si="410">IMARGUMENT(AZ404)</f>
        <v>1.56680189387436</v>
      </c>
      <c r="BC404" s="30" t="str">
        <f t="shared" ref="BC404:BC467" si="411">IMPRODUCT(AS404,IMDIV(AZ404,IMPRODUCT(AT404,AW404)))</f>
        <v>-0,0229804462957099+0,123000635251643i</v>
      </c>
      <c r="BD404" s="32">
        <f t="shared" ref="BD404:BD467" si="412">20*LOG(IMABS(BC404))</f>
        <v>-18.0528431469641</v>
      </c>
      <c r="BE404" s="31">
        <f t="shared" ref="BE404:BE467" si="413">(180/PI())*IMARGUMENT(BC404)</f>
        <v>100.582673307594</v>
      </c>
      <c r="BF404" s="30" t="str">
        <f t="shared" ref="BF404:BF467" si="414">IMPRODUCT(AC404,BC404)</f>
        <v>0,0408272694134958-0,0751932974374715i</v>
      </c>
      <c r="BG404" s="68">
        <f t="shared" ref="BG404:BG467" si="415">20*LOG(IMABS(BF404))</f>
        <v>-21.3543564950678</v>
      </c>
      <c r="BH404" s="31">
        <f t="shared" ref="BH404:BH467" si="416">(180/PI())*IMARGUMENT(BF404)</f>
        <v>-61.499623369326</v>
      </c>
      <c r="BI404" s="30" t="str">
        <f t="shared" si="369"/>
        <v>0,408181744449589+1,44712834617828i</v>
      </c>
      <c r="BJ404" s="68">
        <f t="shared" ref="BJ404:BJ467" si="417">20*LOG(IMABS(BI404))</f>
        <v>3.54260758865941</v>
      </c>
      <c r="BK404" s="31">
        <f t="shared" si="370"/>
        <v>74.2481904241858</v>
      </c>
      <c r="BL404" s="32">
        <f t="shared" ref="BL404:BL467" si="418">IF($B$31=0,BJ404,BG404)</f>
        <v>-21.3543564950678</v>
      </c>
      <c r="BM404" s="31">
        <f t="shared" ref="BM404:BM467" si="419">IF($B$31=0,BK404,BH404)</f>
        <v>-61.499623369326</v>
      </c>
      <c r="BO404">
        <f t="shared" ref="BO404:BO467" si="420">SUM((BL405&lt;0)*(BL404&gt;0))*O404</f>
        <v>0</v>
      </c>
      <c r="BP404">
        <f t="shared" ref="BP404:BP467" si="421">IF(BO404&gt;0,BM404,0)</f>
        <v>0</v>
      </c>
    </row>
    <row r="405" spans="14:68">
      <c r="N405" s="7">
        <v>87</v>
      </c>
      <c r="O405" s="18">
        <f t="shared" si="371"/>
        <v>74131.0241300919</v>
      </c>
      <c r="P405" s="86" t="str">
        <f t="shared" si="372"/>
        <v>96,0576923076923</v>
      </c>
      <c r="Q405" s="4" t="str">
        <f t="shared" si="373"/>
        <v>1+621,743255461405i</v>
      </c>
      <c r="R405" s="4">
        <f t="shared" si="384"/>
        <v>621.744059651354</v>
      </c>
      <c r="S405" s="4">
        <f t="shared" si="385"/>
        <v>1.56918794724446</v>
      </c>
      <c r="T405" s="4" t="str">
        <f t="shared" si="374"/>
        <v>1+7,30341411820739i</v>
      </c>
      <c r="U405" s="4">
        <f t="shared" si="386"/>
        <v>7.37155735120002</v>
      </c>
      <c r="V405" s="4">
        <f t="shared" si="387"/>
        <v>1.4347202237718</v>
      </c>
      <c r="W405" t="str">
        <f t="shared" si="375"/>
        <v>1-3,46746560317386i</v>
      </c>
      <c r="X405" s="4">
        <f t="shared" si="388"/>
        <v>3.60878341123347</v>
      </c>
      <c r="Y405" s="4">
        <f t="shared" si="389"/>
        <v>-1.29001996184469</v>
      </c>
      <c r="Z405" t="str">
        <f t="shared" si="376"/>
        <v>0,955139520501418+5,94389570425993i</v>
      </c>
      <c r="AA405" s="4">
        <f t="shared" si="390"/>
        <v>6.0201484738122</v>
      </c>
      <c r="AB405" s="4">
        <f t="shared" si="391"/>
        <v>1.41146591329334</v>
      </c>
      <c r="AC405" s="67" t="str">
        <f t="shared" si="392"/>
        <v>-0,651065364261242-0,205427895178961i</v>
      </c>
      <c r="AD405" s="68">
        <f t="shared" si="393"/>
        <v>-3.3153326298145</v>
      </c>
      <c r="AE405" s="31">
        <f t="shared" si="394"/>
        <v>-162.488172095331</v>
      </c>
      <c r="AF405" s="32" t="str">
        <f t="shared" si="395"/>
        <v>236,914774604583</v>
      </c>
      <c r="AG405" s="32" t="str">
        <f t="shared" si="377"/>
        <v>1+153,53768316686i</v>
      </c>
      <c r="AH405" s="32">
        <f t="shared" si="396"/>
        <v>153.540939661861</v>
      </c>
      <c r="AI405" s="32">
        <f t="shared" si="397"/>
        <v>1.56428335981666</v>
      </c>
      <c r="AJ405" s="32" t="str">
        <f t="shared" si="378"/>
        <v>1+7,30341411820739i</v>
      </c>
      <c r="AK405" s="32">
        <f t="shared" si="398"/>
        <v>7.37155735120002</v>
      </c>
      <c r="AL405" s="32">
        <f t="shared" si="399"/>
        <v>1.4347202237718</v>
      </c>
      <c r="AM405" s="32" t="str">
        <f t="shared" si="379"/>
        <v>1-0,347171140224138i</v>
      </c>
      <c r="AN405" s="32">
        <f t="shared" si="400"/>
        <v>1.0585498574014</v>
      </c>
      <c r="AO405" s="32">
        <f t="shared" si="401"/>
        <v>-0.334152457543266</v>
      </c>
      <c r="AP405" s="30" t="str">
        <f t="shared" si="402"/>
        <v>10,7688356115624-5,38533298044769i</v>
      </c>
      <c r="AQ405" s="32">
        <f t="shared" si="403"/>
        <v>21.6127703568734</v>
      </c>
      <c r="AR405" s="31">
        <f t="shared" si="404"/>
        <v>-26.5689464070033</v>
      </c>
      <c r="AS405" t="str">
        <f t="shared" si="380"/>
        <v>-0,000272527472527473</v>
      </c>
      <c r="AT405" t="str">
        <f t="shared" si="381"/>
        <v>0,104660532676097i</v>
      </c>
      <c r="AU405">
        <f t="shared" si="405"/>
        <v>0.104660532676097</v>
      </c>
      <c r="AV405">
        <f t="shared" si="406"/>
        <v>1.5707963267949</v>
      </c>
      <c r="AW405" t="str">
        <f t="shared" si="382"/>
        <v>1+5,35842730658057i</v>
      </c>
      <c r="AX405">
        <f t="shared" si="407"/>
        <v>5.4509396621049</v>
      </c>
      <c r="AY405">
        <f t="shared" si="408"/>
        <v>1.38629676852792</v>
      </c>
      <c r="AZ405" t="str">
        <f t="shared" si="383"/>
        <v>1+256,178428891203i</v>
      </c>
      <c r="BA405">
        <f t="shared" si="409"/>
        <v>256.180380648412</v>
      </c>
      <c r="BB405">
        <f t="shared" si="410"/>
        <v>1.56689281733395</v>
      </c>
      <c r="BC405" s="30" t="str">
        <f t="shared" si="411"/>
        <v>-0,0219809654949038+0,120387323996632i</v>
      </c>
      <c r="BD405" s="32">
        <f t="shared" si="412"/>
        <v>-18.2459632077729</v>
      </c>
      <c r="BE405" s="31">
        <f t="shared" si="413"/>
        <v>100.347391393324</v>
      </c>
      <c r="BF405" s="30" t="str">
        <f t="shared" si="414"/>
        <v>0,0390419598816091-0,0738645134746839i</v>
      </c>
      <c r="BG405" s="68">
        <f t="shared" si="415"/>
        <v>-21.5612958375874</v>
      </c>
      <c r="BH405" s="31">
        <f t="shared" si="416"/>
        <v>-62.1407807020066</v>
      </c>
      <c r="BI405" s="30" t="str">
        <f t="shared" si="369"/>
        <v>0,41161642234886+1,41480612025742i</v>
      </c>
      <c r="BJ405" s="68">
        <f t="shared" si="417"/>
        <v>3.36680714910053</v>
      </c>
      <c r="BK405" s="31">
        <f t="shared" si="370"/>
        <v>73.778444986321</v>
      </c>
      <c r="BL405" s="32">
        <f t="shared" si="418"/>
        <v>-21.5612958375874</v>
      </c>
      <c r="BM405" s="31">
        <f t="shared" si="419"/>
        <v>-62.1407807020066</v>
      </c>
      <c r="BO405">
        <f t="shared" si="420"/>
        <v>0</v>
      </c>
      <c r="BP405">
        <f t="shared" si="421"/>
        <v>0</v>
      </c>
    </row>
    <row r="406" spans="14:68">
      <c r="N406" s="7">
        <v>88</v>
      </c>
      <c r="O406" s="18">
        <f t="shared" si="371"/>
        <v>75857.7575029185</v>
      </c>
      <c r="P406" s="86" t="str">
        <f t="shared" si="372"/>
        <v>96,0576923076923</v>
      </c>
      <c r="Q406" s="4" t="str">
        <f t="shared" si="373"/>
        <v>1+636,225516311477i</v>
      </c>
      <c r="R406" s="4">
        <f t="shared" si="384"/>
        <v>636.22630219585</v>
      </c>
      <c r="S406" s="4">
        <f t="shared" si="385"/>
        <v>1.56922455837179</v>
      </c>
      <c r="T406" s="4" t="str">
        <f t="shared" si="374"/>
        <v>1+7,47353248688593i</v>
      </c>
      <c r="U406" s="4">
        <f t="shared" si="386"/>
        <v>7.54013844916255</v>
      </c>
      <c r="V406" s="4">
        <f t="shared" si="387"/>
        <v>1.43778087130321</v>
      </c>
      <c r="W406" t="str">
        <f t="shared" si="375"/>
        <v>1-3,54823325270237i</v>
      </c>
      <c r="X406" s="4">
        <f t="shared" si="388"/>
        <v>3.6864561865812</v>
      </c>
      <c r="Y406" s="4">
        <f t="shared" si="389"/>
        <v>-1.29609110142659</v>
      </c>
      <c r="Z406" t="str">
        <f t="shared" si="376"/>
        <v>0,953025311237783+6,08234682101686i</v>
      </c>
      <c r="AA406" s="4">
        <f t="shared" si="390"/>
        <v>6.15655748734581</v>
      </c>
      <c r="AB406" s="4">
        <f t="shared" si="391"/>
        <v>1.41537292612754</v>
      </c>
      <c r="AC406" s="67" t="str">
        <f t="shared" si="392"/>
        <v>-0,651483785821688-0,200589210608199i</v>
      </c>
      <c r="AD406" s="68">
        <f t="shared" si="393"/>
        <v>-3.32858024916635</v>
      </c>
      <c r="AE406" s="31">
        <f t="shared" si="394"/>
        <v>-162.886613593064</v>
      </c>
      <c r="AF406" s="32" t="str">
        <f t="shared" si="395"/>
        <v>236,914774604583</v>
      </c>
      <c r="AG406" s="32" t="str">
        <f t="shared" si="377"/>
        <v>1+157,11403523567i</v>
      </c>
      <c r="AH406" s="32">
        <f t="shared" si="396"/>
        <v>157.117217605313</v>
      </c>
      <c r="AI406" s="32">
        <f t="shared" si="397"/>
        <v>1.56443160899453</v>
      </c>
      <c r="AJ406" s="32" t="str">
        <f t="shared" si="378"/>
        <v>1+7,47353248688593i</v>
      </c>
      <c r="AK406" s="32">
        <f t="shared" si="398"/>
        <v>7.54013844916255</v>
      </c>
      <c r="AL406" s="32">
        <f t="shared" si="399"/>
        <v>1.43778087130321</v>
      </c>
      <c r="AM406" s="32" t="str">
        <f t="shared" si="379"/>
        <v>1-0,355257794913479i</v>
      </c>
      <c r="AN406" s="32">
        <f t="shared" si="400"/>
        <v>1.06122952316961</v>
      </c>
      <c r="AO406" s="32">
        <f t="shared" si="401"/>
        <v>-0.341351123281187</v>
      </c>
      <c r="AP406" s="30" t="str">
        <f t="shared" si="402"/>
        <v>10,768403868573-5,44294061673876i</v>
      </c>
      <c r="AQ406" s="32">
        <f t="shared" si="403"/>
        <v>21.6311401888772</v>
      </c>
      <c r="AR406" s="31">
        <f t="shared" si="404"/>
        <v>-26.8145314379928</v>
      </c>
      <c r="AS406" t="str">
        <f t="shared" si="380"/>
        <v>-0,000272527472527473</v>
      </c>
      <c r="AT406" t="str">
        <f t="shared" si="381"/>
        <v>0,107098389655821i</v>
      </c>
      <c r="AU406">
        <f t="shared" si="405"/>
        <v>0.107098389655821</v>
      </c>
      <c r="AV406">
        <f t="shared" si="406"/>
        <v>1.5707963267949</v>
      </c>
      <c r="AW406" t="str">
        <f t="shared" si="382"/>
        <v>1+5,48324111246972i</v>
      </c>
      <c r="AX406">
        <f t="shared" si="407"/>
        <v>5.57368218482882</v>
      </c>
      <c r="AY406">
        <f t="shared" si="408"/>
        <v>1.39040495616861</v>
      </c>
      <c r="AZ406" t="str">
        <f t="shared" si="383"/>
        <v>1+262,145591057861i</v>
      </c>
      <c r="BA406">
        <f t="shared" si="409"/>
        <v>262.147498387979</v>
      </c>
      <c r="BB406">
        <f t="shared" si="410"/>
        <v>1.56698167118529</v>
      </c>
      <c r="BC406" s="30" t="str">
        <f t="shared" si="411"/>
        <v>-0,0210235044602326+0,117821589832186i</v>
      </c>
      <c r="BD406" s="32">
        <f t="shared" si="412"/>
        <v>-18.4393827177537</v>
      </c>
      <c r="BE406" s="31">
        <f t="shared" si="413"/>
        <v>100.11710053074</v>
      </c>
      <c r="BF406" s="30" t="str">
        <f t="shared" si="414"/>
        <v>0,0373302119740327-0,0725417672315066i</v>
      </c>
      <c r="BG406" s="68">
        <f t="shared" si="415"/>
        <v>-21.7679629669201</v>
      </c>
      <c r="BH406" s="31">
        <f t="shared" si="416"/>
        <v>-62.7695130623233</v>
      </c>
      <c r="BI406" s="30" t="str">
        <f t="shared" si="369"/>
        <v>0,414906330065809+1,38318015008312i</v>
      </c>
      <c r="BJ406" s="68">
        <f t="shared" si="417"/>
        <v>3.19175747112346</v>
      </c>
      <c r="BK406" s="31">
        <f t="shared" si="370"/>
        <v>73.3025690927473</v>
      </c>
      <c r="BL406" s="32">
        <f t="shared" si="418"/>
        <v>-21.7679629669201</v>
      </c>
      <c r="BM406" s="31">
        <f t="shared" si="419"/>
        <v>-62.7695130623233</v>
      </c>
      <c r="BO406">
        <f t="shared" si="420"/>
        <v>0</v>
      </c>
      <c r="BP406">
        <f t="shared" si="421"/>
        <v>0</v>
      </c>
    </row>
    <row r="407" spans="14:68">
      <c r="N407" s="7">
        <v>89</v>
      </c>
      <c r="O407" s="18">
        <f t="shared" si="371"/>
        <v>77624.7116628691</v>
      </c>
      <c r="P407" s="86" t="str">
        <f t="shared" si="372"/>
        <v>96,0576923076923</v>
      </c>
      <c r="Q407" s="4" t="str">
        <f t="shared" si="373"/>
        <v>1+651,045112351738i</v>
      </c>
      <c r="R407" s="4">
        <f t="shared" si="384"/>
        <v>651.04588034722</v>
      </c>
      <c r="S407" s="4">
        <f t="shared" si="385"/>
        <v>1.56926033613218</v>
      </c>
      <c r="T407" s="4" t="str">
        <f t="shared" si="374"/>
        <v>1+7,64761342141292i</v>
      </c>
      <c r="U407" s="4">
        <f t="shared" si="386"/>
        <v>7.71271619102992</v>
      </c>
      <c r="V407" s="4">
        <f t="shared" si="387"/>
        <v>1.44077427428592</v>
      </c>
      <c r="W407" t="str">
        <f t="shared" si="375"/>
        <v>1-3,63088222246787i</v>
      </c>
      <c r="X407" s="4">
        <f t="shared" si="388"/>
        <v>3.76607298302001</v>
      </c>
      <c r="Y407" s="4">
        <f t="shared" si="389"/>
        <v>-1.30204418803437</v>
      </c>
      <c r="Z407" t="str">
        <f t="shared" si="376"/>
        <v>0,950811462361277+6,22402287856766i</v>
      </c>
      <c r="AA407" s="4">
        <f t="shared" si="390"/>
        <v>6.29622928663587</v>
      </c>
      <c r="AB407" s="4">
        <f t="shared" si="391"/>
        <v>1.4192035443706</v>
      </c>
      <c r="AC407" s="67" t="str">
        <f t="shared" si="392"/>
        <v>-0,651884162104286-0,195850971799611i</v>
      </c>
      <c r="AD407" s="68">
        <f t="shared" si="393"/>
        <v>-3.34127797323199</v>
      </c>
      <c r="AE407" s="31">
        <f t="shared" si="394"/>
        <v>-163.277719146398</v>
      </c>
      <c r="AF407" s="32" t="str">
        <f t="shared" si="395"/>
        <v>236,914774604583</v>
      </c>
      <c r="AG407" s="32" t="str">
        <f t="shared" si="377"/>
        <v>1+160,773691245612i</v>
      </c>
      <c r="AH407" s="32">
        <f t="shared" si="396"/>
        <v>160.776801177096</v>
      </c>
      <c r="AI407" s="32">
        <f t="shared" si="397"/>
        <v>1.56457648387945</v>
      </c>
      <c r="AJ407" s="32" t="str">
        <f t="shared" si="378"/>
        <v>1+7,64761342141292i</v>
      </c>
      <c r="AK407" s="32">
        <f t="shared" si="398"/>
        <v>7.71271619102992</v>
      </c>
      <c r="AL407" s="32">
        <f t="shared" si="399"/>
        <v>1.44077427428592</v>
      </c>
      <c r="AM407" s="32" t="str">
        <f t="shared" si="379"/>
        <v>1-0,363532811988076i</v>
      </c>
      <c r="AN407" s="32">
        <f t="shared" si="400"/>
        <v>1.06402824464013</v>
      </c>
      <c r="AO407" s="32">
        <f t="shared" si="401"/>
        <v>-0.348679542517269</v>
      </c>
      <c r="AP407" s="30" t="str">
        <f t="shared" si="402"/>
        <v>10,7679915556801-5,50343392477758i</v>
      </c>
      <c r="AQ407" s="32">
        <f t="shared" si="403"/>
        <v>21.6505853750624</v>
      </c>
      <c r="AR407" s="31">
        <f t="shared" si="404"/>
        <v>-27.0712102928953</v>
      </c>
      <c r="AS407" t="str">
        <f t="shared" si="380"/>
        <v>-0,000272527472527473</v>
      </c>
      <c r="AT407" t="str">
        <f t="shared" si="381"/>
        <v>0,109593031619355i</v>
      </c>
      <c r="AU407">
        <f t="shared" si="405"/>
        <v>0.109593031619355</v>
      </c>
      <c r="AV407">
        <f t="shared" si="406"/>
        <v>1.5707963267949</v>
      </c>
      <c r="AW407" t="str">
        <f t="shared" si="382"/>
        <v>1+5,61096220537599i</v>
      </c>
      <c r="AX407">
        <f t="shared" si="407"/>
        <v>5.69937688437585</v>
      </c>
      <c r="AY407">
        <f t="shared" si="408"/>
        <v>1.39442558718181</v>
      </c>
      <c r="AZ407" t="str">
        <f t="shared" si="383"/>
        <v>1+268,251746286805i</v>
      </c>
      <c r="BA407">
        <f t="shared" si="409"/>
        <v>268.253610201094</v>
      </c>
      <c r="BB407">
        <f t="shared" si="410"/>
        <v>1.56706850253424</v>
      </c>
      <c r="BC407" s="30" t="str">
        <f t="shared" si="411"/>
        <v>-0,0201064204848102+0,11530308806214i</v>
      </c>
      <c r="BD407" s="32">
        <f t="shared" si="412"/>
        <v>-18.6330890686221</v>
      </c>
      <c r="BE407" s="31">
        <f t="shared" si="413"/>
        <v>99.8917104125288</v>
      </c>
      <c r="BF407" s="30" t="str">
        <f t="shared" si="414"/>
        <v>0,0356892789191232-0,0712263949580632i</v>
      </c>
      <c r="BG407" s="68">
        <f t="shared" si="415"/>
        <v>-21.9743670418541</v>
      </c>
      <c r="BH407" s="31">
        <f t="shared" si="416"/>
        <v>-63.3860087338697</v>
      </c>
      <c r="BI407" s="30" t="str">
        <f t="shared" si="369"/>
        <v>0,418057160477408+1,35223703519891i</v>
      </c>
      <c r="BJ407" s="68">
        <f t="shared" si="417"/>
        <v>3.0174963064403</v>
      </c>
      <c r="BK407" s="31">
        <f t="shared" si="370"/>
        <v>72.8205001196335</v>
      </c>
      <c r="BL407" s="32">
        <f t="shared" si="418"/>
        <v>-21.9743670418541</v>
      </c>
      <c r="BM407" s="31">
        <f t="shared" si="419"/>
        <v>-63.3860087338697</v>
      </c>
      <c r="BO407">
        <f t="shared" si="420"/>
        <v>0</v>
      </c>
      <c r="BP407">
        <f t="shared" si="421"/>
        <v>0</v>
      </c>
    </row>
    <row r="408" spans="14:68">
      <c r="N408" s="7">
        <v>90</v>
      </c>
      <c r="O408" s="18">
        <f t="shared" si="371"/>
        <v>79432.8234724282</v>
      </c>
      <c r="P408" s="86" t="str">
        <f t="shared" si="372"/>
        <v>96,0576923076923</v>
      </c>
      <c r="Q408" s="4" t="str">
        <f t="shared" si="373"/>
        <v>1+666,209901128172i</v>
      </c>
      <c r="R408" s="4">
        <f t="shared" si="384"/>
        <v>666.210651641963</v>
      </c>
      <c r="S408" s="4">
        <f t="shared" si="385"/>
        <v>1.56929529949512</v>
      </c>
      <c r="T408" s="4" t="str">
        <f t="shared" si="374"/>
        <v>1+7,8257492218041i</v>
      </c>
      <c r="U408" s="4">
        <f t="shared" si="386"/>
        <v>7.88938216101663</v>
      </c>
      <c r="V408" s="4">
        <f t="shared" si="387"/>
        <v>1.44370180516998</v>
      </c>
      <c r="W408" t="str">
        <f t="shared" si="375"/>
        <v>1-3,71545633404815i</v>
      </c>
      <c r="X408" s="4">
        <f t="shared" si="388"/>
        <v>3.84767667173562</v>
      </c>
      <c r="Y408" s="4">
        <f t="shared" si="389"/>
        <v>-1.30788068962009</v>
      </c>
      <c r="Z408" t="str">
        <f t="shared" si="376"/>
        <v>0,948493278001617+6,36899899543339i</v>
      </c>
      <c r="AA408" s="4">
        <f t="shared" si="390"/>
        <v>6.43923813057459</v>
      </c>
      <c r="AB408" s="4">
        <f t="shared" si="391"/>
        <v>1.4229594096439</v>
      </c>
      <c r="AC408" s="67" t="str">
        <f t="shared" si="392"/>
        <v>-0,652267217017671-0,191211041369896i</v>
      </c>
      <c r="AD408" s="68">
        <f t="shared" si="393"/>
        <v>-3.35344690550458</v>
      </c>
      <c r="AE408" s="31">
        <f t="shared" si="394"/>
        <v>-163.661589372044</v>
      </c>
      <c r="AF408" s="32" t="str">
        <f t="shared" si="395"/>
        <v>236,914774604583</v>
      </c>
      <c r="AG408" s="32" t="str">
        <f t="shared" si="377"/>
        <v>1+164,518591594745i</v>
      </c>
      <c r="AH408" s="32">
        <f t="shared" si="396"/>
        <v>164.521630736868</v>
      </c>
      <c r="AI408" s="32">
        <f t="shared" si="397"/>
        <v>1.56471806126167</v>
      </c>
      <c r="AJ408" s="32" t="str">
        <f t="shared" si="378"/>
        <v>1+7,8257492218041i</v>
      </c>
      <c r="AK408" s="32">
        <f t="shared" si="398"/>
        <v>7.88938216101663</v>
      </c>
      <c r="AL408" s="32">
        <f t="shared" si="399"/>
        <v>1.44370180516998</v>
      </c>
      <c r="AM408" s="32" t="str">
        <f t="shared" si="379"/>
        <v>1-0,372000578971515i</v>
      </c>
      <c r="AN408" s="32">
        <f t="shared" si="400"/>
        <v>1.06695099735421</v>
      </c>
      <c r="AO408" s="32">
        <f t="shared" si="401"/>
        <v>-0.356138451288782</v>
      </c>
      <c r="AP408" s="30" t="str">
        <f t="shared" si="402"/>
        <v>10,7675977985209-5,56684499542925i</v>
      </c>
      <c r="AQ408" s="32">
        <f t="shared" si="403"/>
        <v>21.6711321433247</v>
      </c>
      <c r="AR408" s="31">
        <f t="shared" si="404"/>
        <v>-27.3389509077005</v>
      </c>
      <c r="AS408" t="str">
        <f t="shared" si="380"/>
        <v>-0,000272527472527473</v>
      </c>
      <c r="AT408" t="str">
        <f t="shared" si="381"/>
        <v>0,112145781258889i</v>
      </c>
      <c r="AU408">
        <f t="shared" si="405"/>
        <v>0.112145781258889</v>
      </c>
      <c r="AV408">
        <f t="shared" si="406"/>
        <v>1.5707963267949</v>
      </c>
      <c r="AW408" t="str">
        <f t="shared" si="382"/>
        <v>1+5,74165830471343i</v>
      </c>
      <c r="AX408">
        <f t="shared" si="407"/>
        <v>5.82809060397011</v>
      </c>
      <c r="AY408">
        <f t="shared" si="408"/>
        <v>1.39836027313941</v>
      </c>
      <c r="AZ408" t="str">
        <f t="shared" si="383"/>
        <v>1+274,500132142363i</v>
      </c>
      <c r="BA408">
        <f t="shared" si="409"/>
        <v>274.501953629068</v>
      </c>
      <c r="BB408">
        <f t="shared" si="410"/>
        <v>1.5671533574147</v>
      </c>
      <c r="BC408" s="30" t="str">
        <f t="shared" si="411"/>
        <v>-0,0192281244580688+0,112831438397288i</v>
      </c>
      <c r="BD408" s="32">
        <f t="shared" si="412"/>
        <v>-18.8270701466208</v>
      </c>
      <c r="BE408" s="31">
        <f t="shared" si="413"/>
        <v>99.6711313399704</v>
      </c>
      <c r="BF408" s="30" t="str">
        <f t="shared" si="414"/>
        <v>0,0341164920639427-0,0699196186142825i</v>
      </c>
      <c r="BG408" s="68">
        <f t="shared" si="415"/>
        <v>-22.1805170521253</v>
      </c>
      <c r="BH408" s="31">
        <f t="shared" si="416"/>
        <v>-63.9904580320737</v>
      </c>
      <c r="BI408" s="30" t="str">
        <f t="shared" si="369"/>
        <v>0,421074417584639+1,32196353610148i</v>
      </c>
      <c r="BJ408" s="68">
        <f t="shared" si="417"/>
        <v>2.84406199670395</v>
      </c>
      <c r="BK408" s="31">
        <f t="shared" si="370"/>
        <v>72.33218043227</v>
      </c>
      <c r="BL408" s="32">
        <f t="shared" si="418"/>
        <v>-22.1805170521253</v>
      </c>
      <c r="BM408" s="31">
        <f t="shared" si="419"/>
        <v>-63.9904580320737</v>
      </c>
      <c r="BO408">
        <f t="shared" si="420"/>
        <v>0</v>
      </c>
      <c r="BP408">
        <f t="shared" si="421"/>
        <v>0</v>
      </c>
    </row>
    <row r="409" spans="14:68">
      <c r="N409" s="7">
        <v>91</v>
      </c>
      <c r="O409" s="18">
        <f t="shared" si="371"/>
        <v>81283.05161641</v>
      </c>
      <c r="P409" s="86" t="str">
        <f t="shared" si="372"/>
        <v>96,0576923076923</v>
      </c>
      <c r="Q409" s="4" t="str">
        <f t="shared" si="373"/>
        <v>1+681,727923212511i</v>
      </c>
      <c r="R409" s="4">
        <f t="shared" si="384"/>
        <v>681.728656642541</v>
      </c>
      <c r="S409" s="4">
        <f t="shared" si="385"/>
        <v>1.56932946699831</v>
      </c>
      <c r="T409" s="4" t="str">
        <f t="shared" si="374"/>
        <v>1+8,00803433801869i</v>
      </c>
      <c r="U409" s="4">
        <f t="shared" si="386"/>
        <v>8.07023010569627</v>
      </c>
      <c r="V409" s="4">
        <f t="shared" si="387"/>
        <v>1.44656481534257</v>
      </c>
      <c r="W409" t="str">
        <f t="shared" si="375"/>
        <v>1-3,80200042975661i</v>
      </c>
      <c r="X409" s="4">
        <f t="shared" si="388"/>
        <v>3.93131113852229</v>
      </c>
      <c r="Y409" s="4">
        <f t="shared" si="389"/>
        <v>-1.3136021095797</v>
      </c>
      <c r="Z409" t="str">
        <f t="shared" si="376"/>
        <v>0,946065840978972+6,51735203987014i</v>
      </c>
      <c r="AA409" s="4">
        <f t="shared" si="390"/>
        <v>6.58566004186875</v>
      </c>
      <c r="AB409" s="4">
        <f t="shared" si="391"/>
        <v>1.4266421486496</v>
      </c>
      <c r="AC409" s="67" t="str">
        <f t="shared" si="392"/>
        <v>-0,652633648225469-0,186667311111471i</v>
      </c>
      <c r="AD409" s="68">
        <f t="shared" si="393"/>
        <v>-3.36510749283447</v>
      </c>
      <c r="AE409" s="31">
        <f t="shared" si="394"/>
        <v>-164.038327244763</v>
      </c>
      <c r="AF409" s="32" t="str">
        <f t="shared" si="395"/>
        <v>236,914774604583</v>
      </c>
      <c r="AG409" s="32" t="str">
        <f t="shared" si="377"/>
        <v>1+168,350721878802i</v>
      </c>
      <c r="AH409" s="32">
        <f t="shared" si="396"/>
        <v>168.353691842839</v>
      </c>
      <c r="AI409" s="32">
        <f t="shared" si="397"/>
        <v>1.56485641618468</v>
      </c>
      <c r="AJ409" s="32" t="str">
        <f t="shared" si="378"/>
        <v>1+8,00803433801869i</v>
      </c>
      <c r="AK409" s="32">
        <f t="shared" si="398"/>
        <v>8.07023010569627</v>
      </c>
      <c r="AL409" s="32">
        <f t="shared" si="399"/>
        <v>1.44656481534257</v>
      </c>
      <c r="AM409" s="32" t="str">
        <f t="shared" si="379"/>
        <v>1-0,380665585585935i</v>
      </c>
      <c r="AN409" s="32">
        <f t="shared" si="400"/>
        <v>1.07000293833685</v>
      </c>
      <c r="AO409" s="32">
        <f t="shared" si="401"/>
        <v>-0.363728483594498</v>
      </c>
      <c r="AP409" s="30" t="str">
        <f t="shared" si="402"/>
        <v>10,767221762073-5,6332074654933i</v>
      </c>
      <c r="AQ409" s="32">
        <f t="shared" si="403"/>
        <v>21.6928077791715</v>
      </c>
      <c r="AR409" s="31">
        <f t="shared" si="404"/>
        <v>-27.6177164787568</v>
      </c>
      <c r="AS409" t="str">
        <f t="shared" si="380"/>
        <v>-0,000272527472527473</v>
      </c>
      <c r="AT409" t="str">
        <f t="shared" si="381"/>
        <v>0,114757992076071i</v>
      </c>
      <c r="AU409">
        <f t="shared" si="405"/>
        <v>0.114757992076071</v>
      </c>
      <c r="AV409">
        <f t="shared" si="406"/>
        <v>1.5707963267949</v>
      </c>
      <c r="AW409" t="str">
        <f t="shared" si="382"/>
        <v>1+5,87539870728384i</v>
      </c>
      <c r="AX409">
        <f t="shared" si="407"/>
        <v>5.95989177498658</v>
      </c>
      <c r="AY409">
        <f t="shared" si="408"/>
        <v>1.40221061269506</v>
      </c>
      <c r="AZ409" t="str">
        <f t="shared" si="383"/>
        <v>1+280,894061601421i</v>
      </c>
      <c r="BA409">
        <f t="shared" si="409"/>
        <v>280.895841626292</v>
      </c>
      <c r="BB409">
        <f t="shared" si="410"/>
        <v>1.56723628081296</v>
      </c>
      <c r="BC409" s="30" t="str">
        <f t="shared" si="411"/>
        <v>-0,0183870800563385+0,110406228075059i</v>
      </c>
      <c r="BD409" s="32">
        <f t="shared" si="412"/>
        <v>-19.0213143162422</v>
      </c>
      <c r="BE409" s="31">
        <f t="shared" si="413"/>
        <v>99.4552742944823</v>
      </c>
      <c r="BF409" s="30" t="str">
        <f t="shared" si="414"/>
        <v>0,032609260862113-0,0686225526221309i</v>
      </c>
      <c r="BG409" s="68">
        <f t="shared" si="415"/>
        <v>-22.3864218090767</v>
      </c>
      <c r="BH409" s="31">
        <f t="shared" si="416"/>
        <v>-64.5830529502806</v>
      </c>
      <c r="BI409" s="30" t="str">
        <f t="shared" si="369"/>
        <v>0,423963419705792+1,29234657824016i</v>
      </c>
      <c r="BJ409" s="68">
        <f t="shared" si="417"/>
        <v>2.67149346292929</v>
      </c>
      <c r="BK409" s="31">
        <f t="shared" si="370"/>
        <v>71.8375578157255</v>
      </c>
      <c r="BL409" s="32">
        <f t="shared" si="418"/>
        <v>-22.3864218090767</v>
      </c>
      <c r="BM409" s="31">
        <f t="shared" si="419"/>
        <v>-64.5830529502806</v>
      </c>
      <c r="BO409">
        <f t="shared" si="420"/>
        <v>0</v>
      </c>
      <c r="BP409">
        <f t="shared" si="421"/>
        <v>0</v>
      </c>
    </row>
    <row r="410" spans="14:68">
      <c r="N410" s="7">
        <v>92</v>
      </c>
      <c r="O410" s="18">
        <f t="shared" si="371"/>
        <v>83176.3771102672</v>
      </c>
      <c r="P410" s="86" t="str">
        <f t="shared" si="372"/>
        <v>96,0576923076923</v>
      </c>
      <c r="Q410" s="4" t="str">
        <f t="shared" si="373"/>
        <v>1+697,607406465475i</v>
      </c>
      <c r="R410" s="4">
        <f t="shared" si="384"/>
        <v>697.608123200617</v>
      </c>
      <c r="S410" s="4">
        <f t="shared" si="385"/>
        <v>1.56936285675747</v>
      </c>
      <c r="T410" s="4" t="str">
        <f t="shared" si="374"/>
        <v>1+8,19456542003818i</v>
      </c>
      <c r="U410" s="4">
        <f t="shared" si="386"/>
        <v>8.25535598404366</v>
      </c>
      <c r="V410" s="4">
        <f t="shared" si="387"/>
        <v>1.44936463496862</v>
      </c>
      <c r="W410" t="str">
        <f t="shared" si="375"/>
        <v>1-3,89056039641836i</v>
      </c>
      <c r="X410" s="4">
        <f t="shared" si="388"/>
        <v>4.01702130915172</v>
      </c>
      <c r="Y410" s="4">
        <f t="shared" si="389"/>
        <v>-1.31920998256116</v>
      </c>
      <c r="Z410" t="str">
        <f t="shared" si="376"/>
        <v>0,943524002373964+6,6691606706258i</v>
      </c>
      <c r="AA410" s="4">
        <f t="shared" si="390"/>
        <v>6.73557284821995</v>
      </c>
      <c r="AB410" s="4">
        <f t="shared" si="391"/>
        <v>1.43025337251597</v>
      </c>
      <c r="AC410" s="67" t="str">
        <f t="shared" si="392"/>
        <v>-0,652984127768793-0,182217702194967i</v>
      </c>
      <c r="AD410" s="68">
        <f t="shared" si="393"/>
        <v>-3.37627953356665</v>
      </c>
      <c r="AE410" s="31">
        <f t="shared" si="394"/>
        <v>-164.408037829374</v>
      </c>
      <c r="AF410" s="32" t="str">
        <f t="shared" si="395"/>
        <v>236,914774604583</v>
      </c>
      <c r="AG410" s="32" t="str">
        <f t="shared" si="377"/>
        <v>1+172,272113943984i</v>
      </c>
      <c r="AH410" s="32">
        <f t="shared" si="396"/>
        <v>172.275016304538</v>
      </c>
      <c r="AI410" s="32">
        <f t="shared" si="397"/>
        <v>1.56499162198488</v>
      </c>
      <c r="AJ410" s="32" t="str">
        <f t="shared" si="378"/>
        <v>1+8,19456542003818i</v>
      </c>
      <c r="AK410" s="32">
        <f t="shared" si="398"/>
        <v>8.25535598404366</v>
      </c>
      <c r="AL410" s="32">
        <f t="shared" si="399"/>
        <v>1.44936463496862</v>
      </c>
      <c r="AM410" s="32" t="str">
        <f t="shared" si="379"/>
        <v>1-0,389532426132537i</v>
      </c>
      <c r="AN410" s="32">
        <f t="shared" si="400"/>
        <v>1.07318941059288</v>
      </c>
      <c r="AO410" s="32">
        <f t="shared" si="401"/>
        <v>-0.371450164760089</v>
      </c>
      <c r="AP410" s="30" t="str">
        <f t="shared" si="402"/>
        <v>10,7668626488859-5,70255653561181i</v>
      </c>
      <c r="AQ410" s="32">
        <f t="shared" si="403"/>
        <v>21.7156405957414</v>
      </c>
      <c r="AR410" s="31">
        <f t="shared" si="404"/>
        <v>-27.9074650940378</v>
      </c>
      <c r="AS410" t="str">
        <f t="shared" si="380"/>
        <v>-0,000272527472527473</v>
      </c>
      <c r="AT410" t="str">
        <f t="shared" si="381"/>
        <v>0,117431049099654i</v>
      </c>
      <c r="AU410">
        <f t="shared" si="405"/>
        <v>0.117431049099654</v>
      </c>
      <c r="AV410">
        <f t="shared" si="406"/>
        <v>1.5707963267949</v>
      </c>
      <c r="AW410" t="str">
        <f t="shared" si="382"/>
        <v>1+6,01225432401895i</v>
      </c>
      <c r="AX410">
        <f t="shared" si="407"/>
        <v>6.09485045400497</v>
      </c>
      <c r="AY410">
        <f t="shared" si="408"/>
        <v>1.40597819046749</v>
      </c>
      <c r="AZ410" t="str">
        <f t="shared" si="383"/>
        <v>1+287,436924810012i</v>
      </c>
      <c r="BA410">
        <f t="shared" si="409"/>
        <v>287.438664316818</v>
      </c>
      <c r="BB410">
        <f t="shared" si="410"/>
        <v>1.56731731669154</v>
      </c>
      <c r="BC410" s="30" t="str">
        <f t="shared" si="411"/>
        <v>-0,0175818028512485+0,108027014811845i</v>
      </c>
      <c r="BD410" s="32">
        <f t="shared" si="412"/>
        <v>-19.215810404211</v>
      </c>
      <c r="BE410" s="31">
        <f t="shared" si="413"/>
        <v>99.2440510029662</v>
      </c>
      <c r="BF410" s="30" t="str">
        <f t="shared" si="414"/>
        <v>0,0311650726134214-0,0673362103263797i</v>
      </c>
      <c r="BG410" s="68">
        <f t="shared" si="415"/>
        <v>-22.5920899377776</v>
      </c>
      <c r="BH410" s="31">
        <f t="shared" si="416"/>
        <v>-65.1639868264083</v>
      </c>
      <c r="BI410" s="30" t="str">
        <f t="shared" si="369"/>
        <v>0,426729302918737+1,26337325560552i</v>
      </c>
      <c r="BJ410" s="68">
        <f t="shared" si="417"/>
        <v>2.49983019153044</v>
      </c>
      <c r="BK410" s="31">
        <f t="shared" si="370"/>
        <v>71.3365859089284</v>
      </c>
      <c r="BL410" s="32">
        <f t="shared" si="418"/>
        <v>-22.5920899377776</v>
      </c>
      <c r="BM410" s="31">
        <f t="shared" si="419"/>
        <v>-65.1639868264083</v>
      </c>
      <c r="BO410">
        <f t="shared" si="420"/>
        <v>0</v>
      </c>
      <c r="BP410">
        <f t="shared" si="421"/>
        <v>0</v>
      </c>
    </row>
    <row r="411" spans="14:68">
      <c r="N411" s="7">
        <v>93</v>
      </c>
      <c r="O411" s="18">
        <f t="shared" si="371"/>
        <v>85113.8038202377</v>
      </c>
      <c r="P411" s="86" t="str">
        <f t="shared" si="372"/>
        <v>96,0576923076923</v>
      </c>
      <c r="Q411" s="4" t="str">
        <f t="shared" si="373"/>
        <v>1+713,856770399272i</v>
      </c>
      <c r="R411" s="4">
        <f t="shared" si="384"/>
        <v>713.857470819546</v>
      </c>
      <c r="S411" s="4">
        <f t="shared" si="385"/>
        <v>1.56939548647601</v>
      </c>
      <c r="T411" s="4" t="str">
        <f t="shared" si="374"/>
        <v>1+8,38544136911126i</v>
      </c>
      <c r="U411" s="4">
        <f t="shared" si="386"/>
        <v>8.444858018629</v>
      </c>
      <c r="V411" s="4">
        <f t="shared" si="387"/>
        <v>1.45210257287351</v>
      </c>
      <c r="W411" t="str">
        <f t="shared" si="375"/>
        <v>1-3,98118318969994i</v>
      </c>
      <c r="X411" s="4">
        <f t="shared" si="388"/>
        <v>4.10485317519998</v>
      </c>
      <c r="Y411" s="4">
        <f t="shared" si="389"/>
        <v>-1.32470587048257</v>
      </c>
      <c r="Z411" t="str">
        <f t="shared" si="376"/>
        <v>0,940862370606123+6,82450537864579i</v>
      </c>
      <c r="AA411" s="4">
        <f t="shared" si="390"/>
        <v>6.8890562244467</v>
      </c>
      <c r="AB411" s="4">
        <f t="shared" si="391"/>
        <v>1.43379467622194</v>
      </c>
      <c r="AC411" s="67" t="str">
        <f t="shared" si="392"/>
        <v>-0,653319302701708-0,177860165320669i</v>
      </c>
      <c r="AD411" s="68">
        <f t="shared" si="393"/>
        <v>-3.38698218674922</v>
      </c>
      <c r="AE411" s="31">
        <f t="shared" si="394"/>
        <v>-164.770828026915</v>
      </c>
      <c r="AF411" s="32" t="str">
        <f t="shared" si="395"/>
        <v>236,914774604583</v>
      </c>
      <c r="AG411" s="32" t="str">
        <f t="shared" si="377"/>
        <v>1+176,284846964271i</v>
      </c>
      <c r="AH411" s="32">
        <f t="shared" si="396"/>
        <v>176.287683260109</v>
      </c>
      <c r="AI411" s="32">
        <f t="shared" si="397"/>
        <v>1.56512375033041</v>
      </c>
      <c r="AJ411" s="32" t="str">
        <f t="shared" si="378"/>
        <v>1+8,38544136911126i</v>
      </c>
      <c r="AK411" s="32">
        <f t="shared" si="398"/>
        <v>8.444858018629</v>
      </c>
      <c r="AL411" s="32">
        <f t="shared" si="399"/>
        <v>1.45210257287351</v>
      </c>
      <c r="AM411" s="32" t="str">
        <f t="shared" si="379"/>
        <v>1-0,398605801927545i</v>
      </c>
      <c r="AN411" s="32">
        <f t="shared" si="400"/>
        <v>1.07651594755038</v>
      </c>
      <c r="AO411" s="32">
        <f t="shared" si="401"/>
        <v>-0.379303904703429</v>
      </c>
      <c r="AP411" s="30" t="str">
        <f t="shared" si="402"/>
        <v>10,76651969739-5,77492898900189i</v>
      </c>
      <c r="AQ411" s="32">
        <f t="shared" si="403"/>
        <v>21.7396599004914</v>
      </c>
      <c r="AR411" s="31">
        <f t="shared" si="404"/>
        <v>-28.2081493562182</v>
      </c>
      <c r="AS411" t="str">
        <f t="shared" si="380"/>
        <v>-0,000272527472527473</v>
      </c>
      <c r="AT411" t="str">
        <f t="shared" si="381"/>
        <v>0,120166369619853i</v>
      </c>
      <c r="AU411">
        <f t="shared" si="405"/>
        <v>0.120166369619853</v>
      </c>
      <c r="AV411">
        <f t="shared" si="406"/>
        <v>1.5707963267949</v>
      </c>
      <c r="AW411" t="str">
        <f t="shared" si="382"/>
        <v>1+6,15229771757826i</v>
      </c>
      <c r="AX411">
        <f t="shared" si="407"/>
        <v>6.23303836068082</v>
      </c>
      <c r="AY411">
        <f t="shared" si="408"/>
        <v>1.40966457602555</v>
      </c>
      <c r="AZ411" t="str">
        <f t="shared" si="383"/>
        <v>1+294,132190880815i</v>
      </c>
      <c r="BA411">
        <f t="shared" si="409"/>
        <v>294.133890791844</v>
      </c>
      <c r="BB411">
        <f t="shared" si="410"/>
        <v>1.56739650801246</v>
      </c>
      <c r="BC411" s="30" t="str">
        <f t="shared" si="411"/>
        <v>-0,0168108593474567+0,105693329592822i</v>
      </c>
      <c r="BD411" s="32">
        <f t="shared" si="412"/>
        <v>-19.4105476837485</v>
      </c>
      <c r="BE411" s="31">
        <f t="shared" si="413"/>
        <v>99.0373739972946</v>
      </c>
      <c r="BF411" s="30" t="str">
        <f t="shared" si="414"/>
        <v>0,0297814919813682-0,0660615101670831i</v>
      </c>
      <c r="BG411" s="68">
        <f t="shared" si="415"/>
        <v>-22.7975298704977</v>
      </c>
      <c r="BH411" s="31">
        <f t="shared" si="416"/>
        <v>-65.7334540296203</v>
      </c>
      <c r="BI411" s="30" t="str">
        <f t="shared" si="369"/>
        <v>0,429377024715274+1,23503083391951i</v>
      </c>
      <c r="BJ411" s="68">
        <f t="shared" si="417"/>
        <v>2.32911221674285</v>
      </c>
      <c r="BK411" s="31">
        <f t="shared" si="370"/>
        <v>70.8292246410763</v>
      </c>
      <c r="BL411" s="32">
        <f t="shared" si="418"/>
        <v>-22.7975298704977</v>
      </c>
      <c r="BM411" s="31">
        <f t="shared" si="419"/>
        <v>-65.7334540296203</v>
      </c>
      <c r="BO411">
        <f t="shared" si="420"/>
        <v>0</v>
      </c>
      <c r="BP411">
        <f t="shared" si="421"/>
        <v>0</v>
      </c>
    </row>
    <row r="412" spans="14:68">
      <c r="N412" s="7">
        <v>94</v>
      </c>
      <c r="O412" s="18">
        <f t="shared" si="371"/>
        <v>87096.3589956081</v>
      </c>
      <c r="P412" s="86" t="str">
        <f t="shared" si="372"/>
        <v>96,0576923076923</v>
      </c>
      <c r="Q412" s="4" t="str">
        <f t="shared" si="373"/>
        <v>1+730,484630641746i</v>
      </c>
      <c r="R412" s="4">
        <f t="shared" si="384"/>
        <v>730.485315118523</v>
      </c>
      <c r="S412" s="4">
        <f t="shared" si="385"/>
        <v>1.56942737345437</v>
      </c>
      <c r="T412" s="4" t="str">
        <f t="shared" si="374"/>
        <v>1+8,58076339019268i</v>
      </c>
      <c r="U412" s="4">
        <f t="shared" si="386"/>
        <v>8.63883674799281</v>
      </c>
      <c r="V412" s="4">
        <f t="shared" si="387"/>
        <v>1.45477991646466</v>
      </c>
      <c r="W412" t="str">
        <f t="shared" si="375"/>
        <v>1-4,07391685900588i</v>
      </c>
      <c r="X412" s="4">
        <f t="shared" si="388"/>
        <v>4.19485382034849</v>
      </c>
      <c r="Y412" s="4">
        <f t="shared" si="389"/>
        <v>-1.33009135875736</v>
      </c>
      <c r="Z412" t="str">
        <f t="shared" si="376"/>
        <v>0,938075299997617+6,98346852975055i</v>
      </c>
      <c r="AA412" s="4">
        <f t="shared" si="390"/>
        <v>7.04619173557475</v>
      </c>
      <c r="AB412" s="4">
        <f t="shared" si="391"/>
        <v>1.43726763809621</v>
      </c>
      <c r="AC412" s="67" t="str">
        <f t="shared" si="392"/>
        <v>-0,653639795736081-0,173592680821305i</v>
      </c>
      <c r="AD412" s="68">
        <f t="shared" si="393"/>
        <v>-3.39723398228927</v>
      </c>
      <c r="AE412" s="31">
        <f t="shared" si="394"/>
        <v>-165.126806334685</v>
      </c>
      <c r="AF412" s="32" t="str">
        <f t="shared" si="395"/>
        <v>236,914774604583</v>
      </c>
      <c r="AG412" s="32" t="str">
        <f t="shared" si="377"/>
        <v>1+180,391048543823i</v>
      </c>
      <c r="AH412" s="32">
        <f t="shared" si="396"/>
        <v>180.393820278689</v>
      </c>
      <c r="AI412" s="32">
        <f t="shared" si="397"/>
        <v>1.56525287125898</v>
      </c>
      <c r="AJ412" s="32" t="str">
        <f t="shared" si="378"/>
        <v>1+8,58076339019268i</v>
      </c>
      <c r="AK412" s="32">
        <f t="shared" si="398"/>
        <v>8.63883674799281</v>
      </c>
      <c r="AL412" s="32">
        <f t="shared" si="399"/>
        <v>1.45477991646466</v>
      </c>
      <c r="AM412" s="32" t="str">
        <f t="shared" si="379"/>
        <v>1-0,407890523794907i</v>
      </c>
      <c r="AN412" s="32">
        <f t="shared" si="400"/>
        <v>1.07998827743716</v>
      </c>
      <c r="AO412" s="32">
        <f t="shared" si="401"/>
        <v>-0.387289991124071</v>
      </c>
      <c r="AP412" s="30" t="str">
        <f t="shared" si="402"/>
        <v>10,766192180283-5,85036321102273i</v>
      </c>
      <c r="AQ412" s="32">
        <f t="shared" si="403"/>
        <v>21.7648959583526</v>
      </c>
      <c r="AR412" s="31">
        <f t="shared" si="404"/>
        <v>-28.5197159991228</v>
      </c>
      <c r="AS412" t="str">
        <f t="shared" si="380"/>
        <v>-0,000272527472527473</v>
      </c>
      <c r="AT412" t="str">
        <f t="shared" si="381"/>
        <v>0,122965403939815i</v>
      </c>
      <c r="AU412">
        <f t="shared" si="405"/>
        <v>0.122965403939815</v>
      </c>
      <c r="AV412">
        <f t="shared" si="406"/>
        <v>1.5707963267949</v>
      </c>
      <c r="AW412" t="str">
        <f t="shared" si="382"/>
        <v>1+6,2956031408227i</v>
      </c>
      <c r="AX412">
        <f t="shared" si="407"/>
        <v>6.37452891645623</v>
      </c>
      <c r="AY412">
        <f t="shared" si="408"/>
        <v>1.4132713229694</v>
      </c>
      <c r="AZ412" t="str">
        <f t="shared" si="383"/>
        <v>1+300,983409732523i</v>
      </c>
      <c r="BA412">
        <f t="shared" si="409"/>
        <v>300.985070949069</v>
      </c>
      <c r="BB412">
        <f t="shared" si="410"/>
        <v>1.56747389676006</v>
      </c>
      <c r="BC412" s="30" t="str">
        <f t="shared" si="411"/>
        <v>-0,0160728659603066+0,103404679304363i</v>
      </c>
      <c r="BD412" s="32">
        <f t="shared" si="412"/>
        <v>-19.6055158591434</v>
      </c>
      <c r="BE412" s="31">
        <f t="shared" si="413"/>
        <v>98.8351566682595</v>
      </c>
      <c r="BF412" s="30" t="str">
        <f t="shared" si="414"/>
        <v>0,0284561603130999-0,0647992815681277i</v>
      </c>
      <c r="BG412" s="68">
        <f t="shared" si="415"/>
        <v>-23.0027498414327</v>
      </c>
      <c r="BH412" s="31">
        <f t="shared" si="416"/>
        <v>-66.2916496664252</v>
      </c>
      <c r="BI412" s="30" t="str">
        <f t="shared" si="369"/>
        <v>0,431911367833259+1,20730675344118i</v>
      </c>
      <c r="BJ412" s="68">
        <f t="shared" si="417"/>
        <v>2.15938009920915</v>
      </c>
      <c r="BK412" s="31">
        <f t="shared" si="370"/>
        <v>70.3154406691367</v>
      </c>
      <c r="BL412" s="32">
        <f t="shared" si="418"/>
        <v>-23.0027498414327</v>
      </c>
      <c r="BM412" s="31">
        <f t="shared" si="419"/>
        <v>-66.2916496664252</v>
      </c>
      <c r="BO412">
        <f t="shared" si="420"/>
        <v>0</v>
      </c>
      <c r="BP412">
        <f t="shared" si="421"/>
        <v>0</v>
      </c>
    </row>
    <row r="413" spans="14:68">
      <c r="N413" s="7">
        <v>95</v>
      </c>
      <c r="O413" s="18">
        <f t="shared" si="371"/>
        <v>89125.0938133746</v>
      </c>
      <c r="P413" s="86" t="str">
        <f t="shared" si="372"/>
        <v>96,0576923076923</v>
      </c>
      <c r="Q413" s="4" t="str">
        <f t="shared" si="373"/>
        <v>1+747,499803504494i</v>
      </c>
      <c r="R413" s="4">
        <f t="shared" si="384"/>
        <v>747.500472400692</v>
      </c>
      <c r="S413" s="4">
        <f t="shared" si="385"/>
        <v>1.56945853459917</v>
      </c>
      <c r="T413" s="4" t="str">
        <f t="shared" si="374"/>
        <v>1+8,78063504560341i</v>
      </c>
      <c r="U413" s="4">
        <f t="shared" si="386"/>
        <v>8.8373950802303</v>
      </c>
      <c r="V413" s="4">
        <f t="shared" si="387"/>
        <v>1.45739793168919</v>
      </c>
      <c r="W413" t="str">
        <f t="shared" si="375"/>
        <v>1-4,16881057295514i</v>
      </c>
      <c r="X413" s="4">
        <f t="shared" si="388"/>
        <v>4.28707144717493</v>
      </c>
      <c r="Y413" s="4">
        <f t="shared" si="389"/>
        <v>-1.33536805272277</v>
      </c>
      <c r="Z413" t="str">
        <f t="shared" si="376"/>
        <v>0,935156878798018+7,14613440830692i</v>
      </c>
      <c r="AA413" s="4">
        <f t="shared" si="390"/>
        <v>7.20706288092114</v>
      </c>
      <c r="AB413" s="4">
        <f t="shared" si="391"/>
        <v>1.44067381938623</v>
      </c>
      <c r="AC413" s="67" t="str">
        <f t="shared" si="392"/>
        <v>-0,653946205892576-0,169413258718667i</v>
      </c>
      <c r="AD413" s="68">
        <f t="shared" si="393"/>
        <v>-3.4070528319394</v>
      </c>
      <c r="AE413" s="31">
        <f t="shared" si="394"/>
        <v>-165.476082619875</v>
      </c>
      <c r="AF413" s="32" t="str">
        <f t="shared" si="395"/>
        <v>236,914774604583</v>
      </c>
      <c r="AG413" s="32" t="str">
        <f t="shared" si="377"/>
        <v>1+184,592895845072i</v>
      </c>
      <c r="AH413" s="32">
        <f t="shared" si="396"/>
        <v>184.595604488486</v>
      </c>
      <c r="AI413" s="32">
        <f t="shared" si="397"/>
        <v>1.56537905321501</v>
      </c>
      <c r="AJ413" s="32" t="str">
        <f t="shared" si="378"/>
        <v>1+8,78063504560341i</v>
      </c>
      <c r="AK413" s="32">
        <f t="shared" si="398"/>
        <v>8.8373950802303</v>
      </c>
      <c r="AL413" s="32">
        <f t="shared" si="399"/>
        <v>1.45739793168919</v>
      </c>
      <c r="AM413" s="32" t="str">
        <f t="shared" si="379"/>
        <v>1-0,417391514617055i</v>
      </c>
      <c r="AN413" s="32">
        <f t="shared" si="400"/>
        <v>1.08361232757584</v>
      </c>
      <c r="AO413" s="32">
        <f t="shared" si="401"/>
        <v>-0.395408582644057</v>
      </c>
      <c r="AP413" s="30" t="str">
        <f t="shared" si="402"/>
        <v>10,7658794029885-5,9288992095877i</v>
      </c>
      <c r="AQ413" s="32">
        <f t="shared" si="403"/>
        <v>21.7913799511588</v>
      </c>
      <c r="AR413" s="31">
        <f t="shared" si="404"/>
        <v>-28.8421054992729</v>
      </c>
      <c r="AS413" t="str">
        <f t="shared" si="380"/>
        <v>-0,000272527472527473</v>
      </c>
      <c r="AT413" t="str">
        <f t="shared" si="381"/>
        <v>0,125829636144585i</v>
      </c>
      <c r="AU413">
        <f t="shared" si="405"/>
        <v>0.125829636144585</v>
      </c>
      <c r="AV413">
        <f t="shared" si="406"/>
        <v>1.5707963267949</v>
      </c>
      <c r="AW413" t="str">
        <f t="shared" si="382"/>
        <v>1+6,44224657618458i</v>
      </c>
      <c r="AX413">
        <f t="shared" si="407"/>
        <v>6.51939728413309</v>
      </c>
      <c r="AY413">
        <f t="shared" si="408"/>
        <v>1.41679996810229</v>
      </c>
      <c r="AZ413" t="str">
        <f t="shared" si="383"/>
        <v>1+307,994213972058i</v>
      </c>
      <c r="BA413">
        <f t="shared" si="409"/>
        <v>307.9958373749</v>
      </c>
      <c r="BB413">
        <f t="shared" si="410"/>
        <v>1.56754952396314</v>
      </c>
      <c r="BC413" s="30" t="str">
        <f t="shared" si="411"/>
        <v>-0,0153664879431471+0,101160549214408i</v>
      </c>
      <c r="BD413" s="32">
        <f t="shared" si="412"/>
        <v>-19.8007050506406</v>
      </c>
      <c r="BE413" s="31">
        <f t="shared" si="413"/>
        <v>98.6373133142988</v>
      </c>
      <c r="BF413" s="30" t="str">
        <f t="shared" si="414"/>
        <v>0,027186794784498-0,0635502705472617i</v>
      </c>
      <c r="BG413" s="68">
        <f t="shared" si="415"/>
        <v>-23.20775788258</v>
      </c>
      <c r="BH413" s="31">
        <f t="shared" si="416"/>
        <v>-66.8387693055764</v>
      </c>
      <c r="BI413" s="30" t="str">
        <f t="shared" si="369"/>
        <v>0,434336944235363+1,18018863140266i</v>
      </c>
      <c r="BJ413" s="68">
        <f t="shared" si="417"/>
        <v>1.99067490051819</v>
      </c>
      <c r="BK413" s="31">
        <f t="shared" si="370"/>
        <v>69.7952078150258</v>
      </c>
      <c r="BL413" s="32">
        <f t="shared" si="418"/>
        <v>-23.20775788258</v>
      </c>
      <c r="BM413" s="31">
        <f t="shared" si="419"/>
        <v>-66.8387693055764</v>
      </c>
      <c r="BO413">
        <f t="shared" si="420"/>
        <v>0</v>
      </c>
      <c r="BP413">
        <f t="shared" si="421"/>
        <v>0</v>
      </c>
    </row>
    <row r="414" spans="14:68">
      <c r="N414" s="7">
        <v>96</v>
      </c>
      <c r="O414" s="18">
        <f t="shared" si="371"/>
        <v>91201.083935591</v>
      </c>
      <c r="P414" s="86" t="str">
        <f t="shared" si="372"/>
        <v>96,0576923076923</v>
      </c>
      <c r="Q414" s="4" t="str">
        <f t="shared" si="373"/>
        <v>1+764,91131065739i</v>
      </c>
      <c r="R414" s="4">
        <f t="shared" si="384"/>
        <v>764.911964327664</v>
      </c>
      <c r="S414" s="4">
        <f t="shared" si="385"/>
        <v>1.56948898643222</v>
      </c>
      <c r="T414" s="4" t="str">
        <f t="shared" si="374"/>
        <v>1+8,98516230994079i</v>
      </c>
      <c r="U414" s="4">
        <f t="shared" si="386"/>
        <v>9.04063834781486</v>
      </c>
      <c r="V414" s="4">
        <f t="shared" si="387"/>
        <v>1.45995786302478</v>
      </c>
      <c r="W414" t="str">
        <f t="shared" si="375"/>
        <v>1-4,26591464545092i</v>
      </c>
      <c r="X414" s="4">
        <f t="shared" si="388"/>
        <v>4.38155540445087</v>
      </c>
      <c r="Y414" s="4">
        <f t="shared" si="389"/>
        <v>-1.34053757426732</v>
      </c>
      <c r="Z414" t="str">
        <f t="shared" si="376"/>
        <v>0,932100916644679+7,31258926191685i</v>
      </c>
      <c r="AA414" s="4">
        <f t="shared" si="390"/>
        <v>7.37175513919931</v>
      </c>
      <c r="AB414" s="4">
        <f t="shared" si="391"/>
        <v>1.44401476389279</v>
      </c>
      <c r="AC414" s="67" t="str">
        <f t="shared" si="392"/>
        <v>-0,654239109154809-0,165319938736507i</v>
      </c>
      <c r="AD414" s="68">
        <f t="shared" si="393"/>
        <v>-3.41645604100604</v>
      </c>
      <c r="AE414" s="31">
        <f t="shared" si="394"/>
        <v>-165.818767906432</v>
      </c>
      <c r="AF414" s="32" t="str">
        <f t="shared" si="395"/>
        <v>236,914774604583</v>
      </c>
      <c r="AG414" s="32" t="str">
        <f t="shared" si="377"/>
        <v>1+188,892616743073i</v>
      </c>
      <c r="AH414" s="32">
        <f t="shared" si="396"/>
        <v>188.89526373111</v>
      </c>
      <c r="AI414" s="32">
        <f t="shared" si="397"/>
        <v>1.56550236308574</v>
      </c>
      <c r="AJ414" s="32" t="str">
        <f t="shared" si="378"/>
        <v>1+8,98516230994079i</v>
      </c>
      <c r="AK414" s="32">
        <f t="shared" si="398"/>
        <v>9.04063834781486</v>
      </c>
      <c r="AL414" s="32">
        <f t="shared" si="399"/>
        <v>1.45995786302478</v>
      </c>
      <c r="AM414" s="32" t="str">
        <f t="shared" si="379"/>
        <v>1-0,427113811945083i</v>
      </c>
      <c r="AN414" s="32">
        <f t="shared" si="400"/>
        <v>1.08739422858238</v>
      </c>
      <c r="AO414" s="32">
        <f t="shared" si="401"/>
        <v>-0.403659701930092</v>
      </c>
      <c r="AP414" s="30" t="str">
        <f t="shared" si="402"/>
        <v>10,7655807021835-6,01057863643314i</v>
      </c>
      <c r="AQ414" s="32">
        <f t="shared" si="403"/>
        <v>21.8191439331632</v>
      </c>
      <c r="AR414" s="31">
        <f t="shared" si="404"/>
        <v>-29.1752516844143</v>
      </c>
      <c r="AS414" t="str">
        <f t="shared" si="380"/>
        <v>-0,000272527472527473</v>
      </c>
      <c r="AT414" t="str">
        <f t="shared" si="381"/>
        <v>0,128760584887991i</v>
      </c>
      <c r="AU414">
        <f t="shared" si="405"/>
        <v>0.128760584887991</v>
      </c>
      <c r="AV414">
        <f t="shared" si="406"/>
        <v>1.5707963267949</v>
      </c>
      <c r="AW414" t="str">
        <f t="shared" si="382"/>
        <v>1+6,59230577595437i</v>
      </c>
      <c r="AX414">
        <f t="shared" si="407"/>
        <v>6.66772040833157</v>
      </c>
      <c r="AY414">
        <f t="shared" si="408"/>
        <v>1.42025203068776</v>
      </c>
      <c r="AZ414" t="str">
        <f t="shared" si="383"/>
        <v>1+315,168320820627i</v>
      </c>
      <c r="BA414">
        <f t="shared" si="409"/>
        <v>315.169907270497</v>
      </c>
      <c r="BB414">
        <f t="shared" si="410"/>
        <v>1.5676234297168</v>
      </c>
      <c r="BC414" s="30" t="str">
        <f t="shared" si="411"/>
        <v>-0,0146904382732309+0,098960405306282i</v>
      </c>
      <c r="BD414" s="32">
        <f t="shared" si="412"/>
        <v>-19.996105779666</v>
      </c>
      <c r="BE414" s="31">
        <f t="shared" si="413"/>
        <v>98.4437591853023</v>
      </c>
      <c r="BF414" s="30" t="str">
        <f t="shared" si="414"/>
        <v>0,0259711873915467-0,0623151450538378i</v>
      </c>
      <c r="BG414" s="68">
        <f t="shared" si="415"/>
        <v>-23.4125618206721</v>
      </c>
      <c r="BH414" s="31">
        <f t="shared" si="416"/>
        <v>-67.37500872113</v>
      </c>
      <c r="BI414" s="30" t="str">
        <f t="shared" si="369"/>
        <v>0,436658199205791+1,15366426409049i</v>
      </c>
      <c r="BJ414" s="68">
        <f t="shared" si="417"/>
        <v>1.82303815349721</v>
      </c>
      <c r="BK414" s="31">
        <f t="shared" si="370"/>
        <v>69.2685075008879</v>
      </c>
      <c r="BL414" s="32">
        <f t="shared" si="418"/>
        <v>-23.4125618206721</v>
      </c>
      <c r="BM414" s="31">
        <f t="shared" si="419"/>
        <v>-67.37500872113</v>
      </c>
      <c r="BO414">
        <f t="shared" si="420"/>
        <v>0</v>
      </c>
      <c r="BP414">
        <f t="shared" si="421"/>
        <v>0</v>
      </c>
    </row>
    <row r="415" spans="14:68">
      <c r="N415" s="7">
        <v>97</v>
      </c>
      <c r="O415" s="18">
        <f t="shared" si="371"/>
        <v>93325.4300796991</v>
      </c>
      <c r="P415" s="86" t="str">
        <f t="shared" si="372"/>
        <v>96,0576923076923</v>
      </c>
      <c r="Q415" s="4" t="str">
        <f t="shared" si="373"/>
        <v>1+782,728383911993i</v>
      </c>
      <c r="R415" s="4">
        <f t="shared" si="384"/>
        <v>782.729022702928</v>
      </c>
      <c r="S415" s="4">
        <f t="shared" si="385"/>
        <v>1.56951874509928</v>
      </c>
      <c r="T415" s="4" t="str">
        <f t="shared" si="374"/>
        <v>1+9,19445362626755i</v>
      </c>
      <c r="U415" s="4">
        <f t="shared" si="386"/>
        <v>9.24867436369043</v>
      </c>
      <c r="V415" s="4">
        <f t="shared" si="387"/>
        <v>1.46246093350129</v>
      </c>
      <c r="W415" t="str">
        <f t="shared" si="375"/>
        <v>1-4,36528056235775i</v>
      </c>
      <c r="X415" s="4">
        <f t="shared" si="388"/>
        <v>4.47835621496307</v>
      </c>
      <c r="Y415" s="4">
        <f t="shared" si="389"/>
        <v>-1.34560155865218</v>
      </c>
      <c r="Z415" t="str">
        <f t="shared" si="376"/>
        <v>0,928900931432156+7,482921347147i</v>
      </c>
      <c r="AA415" s="4">
        <f t="shared" si="390"/>
        <v>7.54035601467224</v>
      </c>
      <c r="AB415" s="4">
        <f t="shared" si="391"/>
        <v>1.447291997666</v>
      </c>
      <c r="AC415" s="67" t="str">
        <f t="shared" si="392"/>
        <v>-0,654519059124053-0,16131079027212i</v>
      </c>
      <c r="AD415" s="68">
        <f t="shared" si="393"/>
        <v>-3.42546032067711</v>
      </c>
      <c r="AE415" s="31">
        <f t="shared" si="394"/>
        <v>-166.154974174786</v>
      </c>
      <c r="AF415" s="32" t="str">
        <f t="shared" si="395"/>
        <v>236,914774604583</v>
      </c>
      <c r="AG415" s="32" t="str">
        <f t="shared" si="377"/>
        <v>1+193,292491006761i</v>
      </c>
      <c r="AH415" s="32">
        <f t="shared" si="396"/>
        <v>193.295077742809</v>
      </c>
      <c r="AI415" s="32">
        <f t="shared" si="397"/>
        <v>1.5656228662367</v>
      </c>
      <c r="AJ415" s="32" t="str">
        <f t="shared" si="378"/>
        <v>1+9,19445362626755i</v>
      </c>
      <c r="AK415" s="32">
        <f t="shared" si="398"/>
        <v>9.24867436369043</v>
      </c>
      <c r="AL415" s="32">
        <f t="shared" si="399"/>
        <v>1.46246093350129</v>
      </c>
      <c r="AM415" s="32" t="str">
        <f t="shared" si="379"/>
        <v>1-0,437062570669722i</v>
      </c>
      <c r="AN415" s="32">
        <f t="shared" si="400"/>
        <v>1.09134031845269</v>
      </c>
      <c r="AO415" s="32">
        <f t="shared" si="401"/>
        <v>-0.412043228830053</v>
      </c>
      <c r="AP415" s="30" t="str">
        <f t="shared" si="402"/>
        <v>10,7652954443927-6,09544480925426i</v>
      </c>
      <c r="AQ415" s="32">
        <f t="shared" si="403"/>
        <v>21.8482207824715</v>
      </c>
      <c r="AR415" s="31">
        <f t="shared" si="404"/>
        <v>-29.5190813410567</v>
      </c>
      <c r="AS415" t="str">
        <f t="shared" si="380"/>
        <v>-0,000272527472527473</v>
      </c>
      <c r="AT415" t="str">
        <f t="shared" si="381"/>
        <v>0,131759804197852i</v>
      </c>
      <c r="AU415">
        <f t="shared" si="405"/>
        <v>0.131759804197852</v>
      </c>
      <c r="AV415">
        <f t="shared" si="406"/>
        <v>1.5707963267949</v>
      </c>
      <c r="AW415" t="str">
        <f t="shared" si="382"/>
        <v>1+6,74586030350604i</v>
      </c>
      <c r="AX415">
        <f t="shared" si="407"/>
        <v>6.8195770568576</v>
      </c>
      <c r="AY415">
        <f t="shared" si="408"/>
        <v>1.42362901178711</v>
      </c>
      <c r="AZ415" t="str">
        <f t="shared" si="383"/>
        <v>1+322,509534084639i</v>
      </c>
      <c r="BA415">
        <f t="shared" si="409"/>
        <v>322.511084422677</v>
      </c>
      <c r="BB415">
        <f t="shared" si="410"/>
        <v>1.56769565320362</v>
      </c>
      <c r="BC415" s="30" t="str">
        <f t="shared" si="411"/>
        <v>-0,0140434765043305+0,0968036964715813i</v>
      </c>
      <c r="BD415" s="32">
        <f t="shared" si="412"/>
        <v>-20.1917089543971</v>
      </c>
      <c r="BE415" s="31">
        <f t="shared" si="413"/>
        <v>98.2544105217902</v>
      </c>
      <c r="BF415" s="30" t="str">
        <f t="shared" si="414"/>
        <v>0,0248072038075384-0,0610945000412283i</v>
      </c>
      <c r="BG415" s="68">
        <f t="shared" si="415"/>
        <v>-23.6171692750742</v>
      </c>
      <c r="BH415" s="31">
        <f t="shared" si="416"/>
        <v>-67.9005636529959</v>
      </c>
      <c r="BI415" s="30" t="str">
        <f t="shared" si="369"/>
        <v>0,43887941553882+1,12772162858809i</v>
      </c>
      <c r="BJ415" s="68">
        <f t="shared" si="417"/>
        <v>1.6565118280744</v>
      </c>
      <c r="BK415" s="31">
        <f t="shared" si="370"/>
        <v>68.7353291807335</v>
      </c>
      <c r="BL415" s="32">
        <f t="shared" si="418"/>
        <v>-23.6171692750742</v>
      </c>
      <c r="BM415" s="31">
        <f t="shared" si="419"/>
        <v>-67.9005636529959</v>
      </c>
      <c r="BO415">
        <f t="shared" si="420"/>
        <v>0</v>
      </c>
      <c r="BP415">
        <f t="shared" si="421"/>
        <v>0</v>
      </c>
    </row>
    <row r="416" spans="14:68">
      <c r="N416" s="7">
        <v>98</v>
      </c>
      <c r="O416" s="18">
        <f t="shared" si="371"/>
        <v>95499.2586021438</v>
      </c>
      <c r="P416" s="86" t="str">
        <f t="shared" si="372"/>
        <v>96,0576923076923</v>
      </c>
      <c r="Q416" s="4" t="str">
        <f t="shared" si="373"/>
        <v>1+800,960470116385i</v>
      </c>
      <c r="R416" s="4">
        <f t="shared" si="384"/>
        <v>800.961094366674</v>
      </c>
      <c r="S416" s="4">
        <f t="shared" si="385"/>
        <v>1.56954782637855</v>
      </c>
      <c r="T416" s="4" t="str">
        <f t="shared" si="374"/>
        <v>1+9,40861996360998i</v>
      </c>
      <c r="U416" s="4">
        <f t="shared" si="386"/>
        <v>9.46161347866421</v>
      </c>
      <c r="V416" s="4">
        <f t="shared" si="387"/>
        <v>1.46490834475053</v>
      </c>
      <c r="W416" t="str">
        <f t="shared" si="375"/>
        <v>1-4,46696100880009i</v>
      </c>
      <c r="X416" s="4">
        <f t="shared" si="388"/>
        <v>4.577525603876</v>
      </c>
      <c r="Y416" s="4">
        <f t="shared" si="389"/>
        <v>-1.35056165152139</v>
      </c>
      <c r="Z416" t="str">
        <f t="shared" si="376"/>
        <v>0,925550135562782+7,65722097632361i</v>
      </c>
      <c r="AA416" s="4">
        <f t="shared" si="390"/>
        <v>7.71295508438177</v>
      </c>
      <c r="AB416" s="4">
        <f t="shared" si="391"/>
        <v>1.45050702875874</v>
      </c>
      <c r="AC416" s="67" t="str">
        <f t="shared" si="392"/>
        <v>-0,654786587672143-0,157383912329023i</v>
      </c>
      <c r="AD416" s="68">
        <f t="shared" si="393"/>
        <v>-3.43408180087323</v>
      </c>
      <c r="AE416" s="31">
        <f t="shared" si="394"/>
        <v>-166.484814174053</v>
      </c>
      <c r="AF416" s="32" t="str">
        <f t="shared" si="395"/>
        <v>236,914774604583</v>
      </c>
      <c r="AG416" s="32" t="str">
        <f t="shared" si="377"/>
        <v>1+197,79485150771i</v>
      </c>
      <c r="AH416" s="32">
        <f t="shared" si="396"/>
        <v>197.797379363219</v>
      </c>
      <c r="AI416" s="32">
        <f t="shared" si="397"/>
        <v>1.56574062654624</v>
      </c>
      <c r="AJ416" s="32" t="str">
        <f t="shared" si="378"/>
        <v>1+9,40861996360998i</v>
      </c>
      <c r="AK416" s="32">
        <f t="shared" si="398"/>
        <v>9.46161347866421</v>
      </c>
      <c r="AL416" s="32">
        <f t="shared" si="399"/>
        <v>1.46490834475053</v>
      </c>
      <c r="AM416" s="32" t="str">
        <f t="shared" si="379"/>
        <v>1-0,44724306575454i</v>
      </c>
      <c r="AN416" s="32">
        <f t="shared" si="400"/>
        <v>1.09545714652172</v>
      </c>
      <c r="AO416" s="32">
        <f t="shared" si="401"/>
        <v>-0.420558893559724</v>
      </c>
      <c r="AP416" s="30" t="str">
        <f t="shared" si="402"/>
        <v>10,7650230246456-6,18354273472184i</v>
      </c>
      <c r="AQ416" s="32">
        <f t="shared" si="403"/>
        <v>21.8786441482345</v>
      </c>
      <c r="AR416" s="31">
        <f t="shared" si="404"/>
        <v>-29.8735138232317</v>
      </c>
      <c r="AS416" t="str">
        <f t="shared" si="380"/>
        <v>-0,000272527472527473</v>
      </c>
      <c r="AT416" t="str">
        <f t="shared" si="381"/>
        <v>0,134828884299946i</v>
      </c>
      <c r="AU416">
        <f t="shared" si="405"/>
        <v>0.134828884299946</v>
      </c>
      <c r="AV416">
        <f t="shared" si="406"/>
        <v>1.5707963267949</v>
      </c>
      <c r="AW416" t="str">
        <f t="shared" si="382"/>
        <v>1+6,90299157548267i</v>
      </c>
      <c r="AX416">
        <f t="shared" si="407"/>
        <v>6.97504786300314</v>
      </c>
      <c r="AY416">
        <f t="shared" si="408"/>
        <v>1.42693239367222</v>
      </c>
      <c r="AZ416" t="str">
        <f t="shared" si="383"/>
        <v>1+330,021746172543i</v>
      </c>
      <c r="BA416">
        <f t="shared" si="409"/>
        <v>330.023261220742</v>
      </c>
      <c r="BB416">
        <f t="shared" si="410"/>
        <v>1.56776623271441</v>
      </c>
      <c r="BC416" s="30" t="str">
        <f t="shared" si="411"/>
        <v>-0,0134244075934793+0,0946898565677936i</v>
      </c>
      <c r="BD416" s="32">
        <f t="shared" si="412"/>
        <v>-20.3875058556878</v>
      </c>
      <c r="BE416" s="31">
        <f t="shared" si="413"/>
        <v>98.0691845897422</v>
      </c>
      <c r="BF416" s="30" t="str">
        <f t="shared" si="414"/>
        <v>0,0236927821241677-0,059888862281429i</v>
      </c>
      <c r="BG416" s="68">
        <f t="shared" si="415"/>
        <v>-23.821587656561</v>
      </c>
      <c r="BH416" s="31">
        <f t="shared" si="416"/>
        <v>-68.4156295843109</v>
      </c>
      <c r="BI416" s="30" t="str">
        <f t="shared" si="369"/>
        <v>0,441004717795601+1,10234888419529i</v>
      </c>
      <c r="BJ416" s="68">
        <f t="shared" si="417"/>
        <v>1.49113829254675</v>
      </c>
      <c r="BK416" s="31">
        <f t="shared" si="370"/>
        <v>68.1956707665105</v>
      </c>
      <c r="BL416" s="32">
        <f t="shared" si="418"/>
        <v>-23.821587656561</v>
      </c>
      <c r="BM416" s="31">
        <f t="shared" si="419"/>
        <v>-68.4156295843109</v>
      </c>
      <c r="BO416">
        <f t="shared" si="420"/>
        <v>0</v>
      </c>
      <c r="BP416">
        <f t="shared" si="421"/>
        <v>0</v>
      </c>
    </row>
    <row r="417" spans="14:68">
      <c r="N417" s="7">
        <v>99</v>
      </c>
      <c r="O417" s="18">
        <f t="shared" si="371"/>
        <v>97723.7220955813</v>
      </c>
      <c r="P417" s="86" t="str">
        <f t="shared" si="372"/>
        <v>96,0576923076923</v>
      </c>
      <c r="Q417" s="4" t="str">
        <f t="shared" si="373"/>
        <v>1+819,617236163995i</v>
      </c>
      <c r="R417" s="4">
        <f t="shared" si="384"/>
        <v>819.617846204624</v>
      </c>
      <c r="S417" s="4">
        <f t="shared" si="385"/>
        <v>1.56957624568913</v>
      </c>
      <c r="T417" s="4" t="str">
        <f t="shared" si="374"/>
        <v>1+9,6277748757949i</v>
      </c>
      <c r="U417" s="4">
        <f t="shared" si="386"/>
        <v>9.67956864012997</v>
      </c>
      <c r="V417" s="4">
        <f t="shared" si="387"/>
        <v>1.46730127708203</v>
      </c>
      <c r="W417" t="str">
        <f t="shared" si="375"/>
        <v>1-4,57100989709651i</v>
      </c>
      <c r="X417" s="4">
        <f t="shared" si="388"/>
        <v>4.67911652765287</v>
      </c>
      <c r="Y417" s="4">
        <f t="shared" si="389"/>
        <v>-1.35541950609483</v>
      </c>
      <c r="Z417" t="str">
        <f t="shared" si="376"/>
        <v>0,92204142154927+7,83558056541714i</v>
      </c>
      <c r="AA417" s="4">
        <f t="shared" si="390"/>
        <v>7.88964404648241</v>
      </c>
      <c r="AB417" s="4">
        <f t="shared" si="391"/>
        <v>1.45366134703377</v>
      </c>
      <c r="AC417" s="67" t="str">
        <f t="shared" si="392"/>
        <v>-0,655042205590394-0,153537433413062i</v>
      </c>
      <c r="AD417" s="68">
        <f t="shared" si="393"/>
        <v>-3.44233604353498</v>
      </c>
      <c r="AE417" s="31">
        <f t="shared" si="394"/>
        <v>-166.808401246298</v>
      </c>
      <c r="AF417" s="32" t="str">
        <f t="shared" si="395"/>
        <v>236,914774604583</v>
      </c>
      <c r="AG417" s="32" t="str">
        <f t="shared" si="377"/>
        <v>1+202,402085457052i</v>
      </c>
      <c r="AH417" s="32">
        <f t="shared" si="396"/>
        <v>202.404555772255</v>
      </c>
      <c r="AI417" s="32">
        <f t="shared" si="397"/>
        <v>1.56585570643937</v>
      </c>
      <c r="AJ417" s="32" t="str">
        <f t="shared" si="378"/>
        <v>1+9,6277748757949i</v>
      </c>
      <c r="AK417" s="32">
        <f t="shared" si="398"/>
        <v>9.67956864012997</v>
      </c>
      <c r="AL417" s="32">
        <f t="shared" si="399"/>
        <v>1.46730127708203</v>
      </c>
      <c r="AM417" s="32" t="str">
        <f t="shared" si="379"/>
        <v>1-0,457660695032781i</v>
      </c>
      <c r="AN417" s="32">
        <f t="shared" si="400"/>
        <v>1.09975147727925</v>
      </c>
      <c r="AO417" s="32">
        <f t="shared" si="401"/>
        <v>-0.429206269978536</v>
      </c>
      <c r="AP417" s="30" t="str">
        <f t="shared" si="402"/>
        <v>10,7647628651942-6,27491913239037i</v>
      </c>
      <c r="AQ417" s="32">
        <f t="shared" si="403"/>
        <v>21.9104483934638</v>
      </c>
      <c r="AR417" s="31">
        <f t="shared" si="404"/>
        <v>-30.2384606648186</v>
      </c>
      <c r="AS417" t="str">
        <f t="shared" si="380"/>
        <v>-0,000272527472527473</v>
      </c>
      <c r="AT417" t="str">
        <f t="shared" si="381"/>
        <v>0,137969452461168i</v>
      </c>
      <c r="AU417">
        <f t="shared" si="405"/>
        <v>0.137969452461168</v>
      </c>
      <c r="AV417">
        <f t="shared" si="406"/>
        <v>1.5707963267949</v>
      </c>
      <c r="AW417" t="str">
        <f t="shared" si="382"/>
        <v>1+7,0637829049645i</v>
      </c>
      <c r="AX417">
        <f t="shared" si="407"/>
        <v>7.13421536880326</v>
      </c>
      <c r="AY417">
        <f t="shared" si="408"/>
        <v>1.43016363930917</v>
      </c>
      <c r="AZ417" t="str">
        <f t="shared" si="383"/>
        <v>1+337,708940158621i</v>
      </c>
      <c r="BA417">
        <f t="shared" si="409"/>
        <v>337.710420720266</v>
      </c>
      <c r="BB417">
        <f t="shared" si="410"/>
        <v>1.56783520566857</v>
      </c>
      <c r="BC417" s="30" t="str">
        <f t="shared" si="411"/>
        <v>-0,0128320807085619+0,0926183063463421i</v>
      </c>
      <c r="BD417" s="32">
        <f t="shared" si="412"/>
        <v>-20.5834881233565</v>
      </c>
      <c r="BE417" s="31">
        <f t="shared" si="413"/>
        <v>97.887999711349</v>
      </c>
      <c r="BF417" s="30" t="str">
        <f t="shared" si="414"/>
        <v>0,0226259314931324-0,0586986949298129i</v>
      </c>
      <c r="BG417" s="68">
        <f t="shared" si="415"/>
        <v>-24.0258241668915</v>
      </c>
      <c r="BH417" s="31">
        <f t="shared" si="416"/>
        <v>-68.9204015349491</v>
      </c>
      <c r="BI417" s="30" t="str">
        <f t="shared" si="369"/>
        <v>0,443038076607553+1,07753437354082i</v>
      </c>
      <c r="BJ417" s="68">
        <f t="shared" si="417"/>
        <v>1.32696027010736</v>
      </c>
      <c r="BK417" s="31">
        <f t="shared" si="370"/>
        <v>67.6495390465304</v>
      </c>
      <c r="BL417" s="32">
        <f t="shared" si="418"/>
        <v>-24.0258241668915</v>
      </c>
      <c r="BM417" s="31">
        <f t="shared" si="419"/>
        <v>-68.9204015349491</v>
      </c>
      <c r="BO417">
        <f t="shared" si="420"/>
        <v>0</v>
      </c>
      <c r="BP417">
        <f t="shared" si="421"/>
        <v>0</v>
      </c>
    </row>
    <row r="418" spans="14:68">
      <c r="N418" s="7">
        <v>100</v>
      </c>
      <c r="O418" s="18">
        <f t="shared" si="371"/>
        <v>100000</v>
      </c>
      <c r="P418" s="86" t="str">
        <f t="shared" si="372"/>
        <v>96,0576923076923</v>
      </c>
      <c r="Q418" s="4" t="str">
        <f t="shared" si="373"/>
        <v>1+838,708574119134i</v>
      </c>
      <c r="R418" s="4">
        <f t="shared" si="384"/>
        <v>838.709170273553</v>
      </c>
      <c r="S418" s="4">
        <f t="shared" si="385"/>
        <v>1.56960401809913</v>
      </c>
      <c r="T418" s="4" t="str">
        <f t="shared" si="374"/>
        <v>1+9,8520345616576i</v>
      </c>
      <c r="U418" s="4">
        <f t="shared" si="386"/>
        <v>9.90265545215504</v>
      </c>
      <c r="V418" s="4">
        <f t="shared" si="387"/>
        <v>1.4696408895825</v>
      </c>
      <c r="W418" t="str">
        <f t="shared" si="375"/>
        <v>1-4,67748239534481i</v>
      </c>
      <c r="X418" s="4">
        <f t="shared" si="388"/>
        <v>4.78318320355395</v>
      </c>
      <c r="Y418" s="4">
        <f t="shared" si="389"/>
        <v>-1.36017678053833</v>
      </c>
      <c r="Z418" t="str">
        <f t="shared" si="376"/>
        <v>0,918367346938775+8,01809468304261i</v>
      </c>
      <c r="AA418" s="4">
        <f t="shared" si="390"/>
        <v>8.07051676970933</v>
      </c>
      <c r="AB418" s="4">
        <f t="shared" si="391"/>
        <v>1.45675642402089</v>
      </c>
      <c r="AC418" s="67" t="str">
        <f t="shared" si="392"/>
        <v>-0,655286403232725-0,149769511394242i</v>
      </c>
      <c r="AD418" s="68">
        <f t="shared" si="393"/>
        <v>-3.45023805626348</v>
      </c>
      <c r="AE418" s="31">
        <f t="shared" si="394"/>
        <v>-167.125849162432</v>
      </c>
      <c r="AF418" s="32" t="str">
        <f t="shared" si="395"/>
        <v>236,914774604583</v>
      </c>
      <c r="AG418" s="32" t="str">
        <f t="shared" si="377"/>
        <v>1+207,116635671211i</v>
      </c>
      <c r="AH418" s="32">
        <f t="shared" si="396"/>
        <v>207.119049755838</v>
      </c>
      <c r="AI418" s="32">
        <f t="shared" si="397"/>
        <v>1.56596816692077</v>
      </c>
      <c r="AJ418" s="32" t="str">
        <f t="shared" si="378"/>
        <v>1+9,8520345616576i</v>
      </c>
      <c r="AK418" s="32">
        <f t="shared" si="398"/>
        <v>9.90265545215504</v>
      </c>
      <c r="AL418" s="32">
        <f t="shared" si="399"/>
        <v>1.4696408895825</v>
      </c>
      <c r="AM418" s="32" t="str">
        <f t="shared" si="379"/>
        <v>1-0,468320982069383i</v>
      </c>
      <c r="AN418" s="32">
        <f t="shared" si="400"/>
        <v>1.10423029402676</v>
      </c>
      <c r="AO418" s="32">
        <f t="shared" si="401"/>
        <v>-0.437984768995963</v>
      </c>
      <c r="AP418" s="30" t="str">
        <f t="shared" si="402"/>
        <v>10,7645144142882-6,36962245951191i</v>
      </c>
      <c r="AQ418" s="32">
        <f t="shared" si="403"/>
        <v>21.9436685333538</v>
      </c>
      <c r="AR418" s="31">
        <f t="shared" si="404"/>
        <v>-30.6138251979502</v>
      </c>
      <c r="AS418" t="str">
        <f t="shared" si="380"/>
        <v>-0,000272527472527473</v>
      </c>
      <c r="AT418" t="str">
        <f t="shared" si="381"/>
        <v>0,141183173852325i</v>
      </c>
      <c r="AU418">
        <f t="shared" si="405"/>
        <v>0.141183173852325</v>
      </c>
      <c r="AV418">
        <f t="shared" si="406"/>
        <v>1.5707963267949</v>
      </c>
      <c r="AW418" t="str">
        <f t="shared" si="382"/>
        <v>1+7,22831954564274i</v>
      </c>
      <c r="AX418">
        <f t="shared" si="407"/>
        <v>7.29716406927519</v>
      </c>
      <c r="AY418">
        <f t="shared" si="408"/>
        <v>1.43332419190806</v>
      </c>
      <c r="AZ418" t="str">
        <f t="shared" si="383"/>
        <v>1+345,575191894877i</v>
      </c>
      <c r="BA418">
        <f t="shared" si="409"/>
        <v>345.576638754967</v>
      </c>
      <c r="BB418">
        <f t="shared" si="410"/>
        <v>1.56790260863384</v>
      </c>
      <c r="BC418" s="30" t="str">
        <f t="shared" si="411"/>
        <v>-0,0122653880228295+0,0905884552567282i</v>
      </c>
      <c r="BD418" s="32">
        <f t="shared" si="412"/>
        <v>-20.7796477428399</v>
      </c>
      <c r="BE418" s="31">
        <f t="shared" si="413"/>
        <v>97.7107752919402</v>
      </c>
      <c r="BF418" s="30" t="str">
        <f t="shared" si="414"/>
        <v>0,021604730683493-0,0575244018483501i</v>
      </c>
      <c r="BG418" s="68">
        <f t="shared" si="415"/>
        <v>-24.2298857991034</v>
      </c>
      <c r="BH418" s="31">
        <f t="shared" si="416"/>
        <v>-69.4150738704923</v>
      </c>
      <c r="BI418" s="30" t="str">
        <f t="shared" si="369"/>
        <v>0,44498331300716+1,053266623404i</v>
      </c>
      <c r="BJ418" s="68">
        <f t="shared" si="417"/>
        <v>1.16402079051393</v>
      </c>
      <c r="BK418" s="31">
        <f t="shared" si="370"/>
        <v>67.0969500939901</v>
      </c>
      <c r="BL418" s="32">
        <f t="shared" si="418"/>
        <v>-24.2298857991034</v>
      </c>
      <c r="BM418" s="31">
        <f t="shared" si="419"/>
        <v>-69.4150738704923</v>
      </c>
      <c r="BO418">
        <f t="shared" si="420"/>
        <v>0</v>
      </c>
      <c r="BP418">
        <f t="shared" si="421"/>
        <v>0</v>
      </c>
    </row>
    <row r="419" spans="14:68">
      <c r="N419" s="7">
        <v>1</v>
      </c>
      <c r="O419" s="18">
        <f>10^(5+(N419/100))</f>
        <v>102329.299228075</v>
      </c>
      <c r="P419" s="86" t="str">
        <f t="shared" si="372"/>
        <v>96,0576923076923</v>
      </c>
      <c r="Q419" s="4" t="str">
        <f t="shared" si="373"/>
        <v>1+858,244606461889i</v>
      </c>
      <c r="R419" s="4">
        <f t="shared" si="384"/>
        <v>858.245189046186</v>
      </c>
      <c r="S419" s="4">
        <f t="shared" si="385"/>
        <v>1.56963115833368</v>
      </c>
      <c r="T419" s="4" t="str">
        <f t="shared" si="374"/>
        <v>1+10,081517926652i</v>
      </c>
      <c r="U419" s="4">
        <f t="shared" si="386"/>
        <v>10.1309922369631</v>
      </c>
      <c r="V419" s="4">
        <f t="shared" si="387"/>
        <v>1.47192832023709</v>
      </c>
      <c r="W419" t="str">
        <f t="shared" si="375"/>
        <v>1-4,78643495667292i</v>
      </c>
      <c r="X419" s="4">
        <f t="shared" si="388"/>
        <v>4.88978113973013</v>
      </c>
      <c r="Y419" s="4">
        <f t="shared" si="389"/>
        <v>-1.36483513550431</v>
      </c>
      <c r="Z419" t="str">
        <f t="shared" si="376"/>
        <v>0,914520118526458+8,20486010060104i</v>
      </c>
      <c r="AA419" s="4">
        <f t="shared" si="390"/>
        <v>8.25566934400988</v>
      </c>
      <c r="AB419" s="4">
        <f t="shared" si="391"/>
        <v>1.45979371282084</v>
      </c>
      <c r="AC419" s="67" t="str">
        <f t="shared" si="392"/>
        <v>-0,655519651151347-0,146078333336504i</v>
      </c>
      <c r="AD419" s="68">
        <f t="shared" si="393"/>
        <v>-3.45780230623861</v>
      </c>
      <c r="AE419" s="31">
        <f t="shared" si="394"/>
        <v>-167.437271969314</v>
      </c>
      <c r="AF419" s="32" t="str">
        <f t="shared" si="395"/>
        <v>236,914774604583</v>
      </c>
      <c r="AG419" s="32" t="str">
        <f t="shared" si="377"/>
        <v>1+211,941001867115i</v>
      </c>
      <c r="AH419" s="32">
        <f t="shared" si="396"/>
        <v>211.943361001085</v>
      </c>
      <c r="AI419" s="32">
        <f t="shared" si="397"/>
        <v>1.56607806760709</v>
      </c>
      <c r="AJ419" s="32" t="str">
        <f t="shared" si="378"/>
        <v>1+10,081517926652i</v>
      </c>
      <c r="AK419" s="32">
        <f t="shared" si="398"/>
        <v>10.1309922369631</v>
      </c>
      <c r="AL419" s="32">
        <f t="shared" si="399"/>
        <v>1.47192832023709</v>
      </c>
      <c r="AM419" s="32" t="str">
        <f t="shared" si="379"/>
        <v>1-0,479229579089638i</v>
      </c>
      <c r="AN419" s="32">
        <f t="shared" si="400"/>
        <v>1.1089008023599</v>
      </c>
      <c r="AO419" s="32">
        <f t="shared" si="401"/>
        <v>-0.446893632152835</v>
      </c>
      <c r="AP419" s="30" t="str">
        <f t="shared" si="402"/>
        <v>10,7642771450053-6,46770293676806i</v>
      </c>
      <c r="AQ419" s="32">
        <f t="shared" si="403"/>
        <v>21.9783401690216</v>
      </c>
      <c r="AR419" s="31">
        <f t="shared" si="404"/>
        <v>-30.9995021801535</v>
      </c>
      <c r="AS419" t="str">
        <f t="shared" si="380"/>
        <v>-0,000272527472527473</v>
      </c>
      <c r="AT419" t="str">
        <f t="shared" si="381"/>
        <v>0,144471752431039i</v>
      </c>
      <c r="AU419">
        <f t="shared" si="405"/>
        <v>0.144471752431039</v>
      </c>
      <c r="AV419">
        <f t="shared" si="406"/>
        <v>1.5707963267949</v>
      </c>
      <c r="AW419" t="str">
        <f t="shared" si="382"/>
        <v>1+7,39668873702219i</v>
      </c>
      <c r="AX419">
        <f t="shared" si="407"/>
        <v>7.46398045766406</v>
      </c>
      <c r="AY419">
        <f t="shared" si="408"/>
        <v>1.4364154745348</v>
      </c>
      <c r="AZ419" t="str">
        <f t="shared" si="383"/>
        <v>1+353,624672172103i</v>
      </c>
      <c r="BA419">
        <f t="shared" si="409"/>
        <v>353.62608609777</v>
      </c>
      <c r="BB419">
        <f t="shared" si="410"/>
        <v>1.56796847734571</v>
      </c>
      <c r="BC419" s="30" t="str">
        <f t="shared" si="411"/>
        <v>-0,0117232635018176+0,0885997031323827i</v>
      </c>
      <c r="BD419" s="32">
        <f t="shared" si="412"/>
        <v>-20.9759770322177</v>
      </c>
      <c r="BE419" s="31">
        <f t="shared" si="413"/>
        <v>97.5374318433375</v>
      </c>
      <c r="BF419" s="30" t="str">
        <f t="shared" si="414"/>
        <v>0,0206273265687543-0,0563663316958422i</v>
      </c>
      <c r="BG419" s="68">
        <f t="shared" si="415"/>
        <v>-24.4337793384563</v>
      </c>
      <c r="BH419" s="31">
        <f t="shared" si="416"/>
        <v>-69.8998401259767</v>
      </c>
      <c r="BI419" s="30" t="str">
        <f t="shared" si="369"/>
        <v>0,4468441027686+1,02953434526137i</v>
      </c>
      <c r="BJ419" s="68">
        <f t="shared" si="417"/>
        <v>1.00236313680387</v>
      </c>
      <c r="BK419" s="31">
        <f t="shared" si="370"/>
        <v>66.537929663184</v>
      </c>
      <c r="BL419" s="32">
        <f t="shared" si="418"/>
        <v>-24.4337793384563</v>
      </c>
      <c r="BM419" s="31">
        <f t="shared" si="419"/>
        <v>-69.8998401259767</v>
      </c>
      <c r="BO419">
        <f t="shared" si="420"/>
        <v>0</v>
      </c>
      <c r="BP419">
        <f t="shared" si="421"/>
        <v>0</v>
      </c>
    </row>
    <row r="420" spans="14:68">
      <c r="N420" s="7">
        <v>2</v>
      </c>
      <c r="O420" s="18">
        <f t="shared" ref="O420:O483" si="422">10^(5+(N420/100))</f>
        <v>104712.85480509</v>
      </c>
      <c r="P420" s="86" t="str">
        <f t="shared" si="372"/>
        <v>96,0576923076923</v>
      </c>
      <c r="Q420" s="4" t="str">
        <f t="shared" si="373"/>
        <v>1+878,235691455209i</v>
      </c>
      <c r="R420" s="4">
        <f t="shared" si="384"/>
        <v>878.236260778277</v>
      </c>
      <c r="S420" s="4">
        <f t="shared" si="385"/>
        <v>1.56965768078272</v>
      </c>
      <c r="T420" s="4" t="str">
        <f t="shared" si="374"/>
        <v>1+10,3163466458958i</v>
      </c>
      <c r="U420" s="4">
        <f t="shared" si="386"/>
        <v>10.3647000978458</v>
      </c>
      <c r="V420" s="4">
        <f t="shared" si="387"/>
        <v>1.47416468607041</v>
      </c>
      <c r="W420" t="str">
        <f t="shared" si="375"/>
        <v>1-4,89792534917106i</v>
      </c>
      <c r="X420" s="4">
        <f t="shared" si="388"/>
        <v>4.99896716593062</v>
      </c>
      <c r="Y420" s="4">
        <f t="shared" si="389"/>
        <v>-1.36939623183696</v>
      </c>
      <c r="Z420" t="str">
        <f t="shared" si="376"/>
        <v>0,910491575825045+8,39597584358905i</v>
      </c>
      <c r="AA420" s="4">
        <f t="shared" si="390"/>
        <v>8.44520013236982</v>
      </c>
      <c r="AB420" s="4">
        <f t="shared" si="391"/>
        <v>1.46277464805263</v>
      </c>
      <c r="AC420" s="67" t="str">
        <f t="shared" si="392"/>
        <v>-0,655742400723444-0,142462115297611i</v>
      </c>
      <c r="AD420" s="68">
        <f t="shared" si="393"/>
        <v>-3.46504273434687</v>
      </c>
      <c r="AE420" s="31">
        <f t="shared" si="394"/>
        <v>-167.742783847607</v>
      </c>
      <c r="AF420" s="32" t="str">
        <f t="shared" si="395"/>
        <v>236,914774604583</v>
      </c>
      <c r="AG420" s="32" t="str">
        <f t="shared" si="377"/>
        <v>1+216,877741987582i</v>
      </c>
      <c r="AH420" s="32">
        <f t="shared" si="396"/>
        <v>216.880047421685</v>
      </c>
      <c r="AI420" s="32">
        <f t="shared" si="397"/>
        <v>1.56618546675851</v>
      </c>
      <c r="AJ420" s="32" t="str">
        <f t="shared" si="378"/>
        <v>1+10,3163466458958i</v>
      </c>
      <c r="AK420" s="32">
        <f t="shared" si="398"/>
        <v>10.3647000978458</v>
      </c>
      <c r="AL420" s="32">
        <f t="shared" si="399"/>
        <v>1.47416468607041</v>
      </c>
      <c r="AM420" s="32" t="str">
        <f t="shared" si="379"/>
        <v>1-0,490392269976085i</v>
      </c>
      <c r="AN420" s="32">
        <f t="shared" si="400"/>
        <v>1.11377043346118</v>
      </c>
      <c r="AO420" s="32">
        <f t="shared" si="401"/>
        <v>-0.455931925424433</v>
      </c>
      <c r="AP420" s="30" t="str">
        <f t="shared" si="402"/>
        <v>10,7640505541345-6,56921257493474i</v>
      </c>
      <c r="AQ420" s="32">
        <f t="shared" si="403"/>
        <v>22.0144994166048</v>
      </c>
      <c r="AR420" s="31">
        <f t="shared" si="404"/>
        <v>-31.3953774330202</v>
      </c>
      <c r="AS420" t="str">
        <f t="shared" si="380"/>
        <v>-0,000272527472527473</v>
      </c>
      <c r="AT420" t="str">
        <f t="shared" si="381"/>
        <v>0,147836931845203i</v>
      </c>
      <c r="AU420">
        <f t="shared" si="405"/>
        <v>0.147836931845203</v>
      </c>
      <c r="AV420">
        <f t="shared" si="406"/>
        <v>1.5707963267949</v>
      </c>
      <c r="AW420" t="str">
        <f t="shared" si="382"/>
        <v>1+7,56897975067682i</v>
      </c>
      <c r="AX420">
        <f t="shared" si="407"/>
        <v>7.63475307172116</v>
      </c>
      <c r="AY420">
        <f t="shared" si="408"/>
        <v>1.43943888978084</v>
      </c>
      <c r="AZ420" t="str">
        <f t="shared" si="383"/>
        <v>1+361,861648931294i</v>
      </c>
      <c r="BA420">
        <f t="shared" si="409"/>
        <v>361.863030672208</v>
      </c>
      <c r="BB420">
        <f t="shared" si="410"/>
        <v>1.56803284672635</v>
      </c>
      <c r="BC420" s="30" t="str">
        <f t="shared" si="411"/>
        <v>-0,0112046816875827+0,0866514417637848i</v>
      </c>
      <c r="BD420" s="32">
        <f t="shared" si="412"/>
        <v>-21.1724686296086</v>
      </c>
      <c r="BE420" s="31">
        <f t="shared" si="413"/>
        <v>97.3678910038649</v>
      </c>
      <c r="BF420" s="30" t="str">
        <f t="shared" si="414"/>
        <v>0,019691932556414-0,0552247817938825i</v>
      </c>
      <c r="BG420" s="68">
        <f t="shared" si="415"/>
        <v>-24.6375113639554</v>
      </c>
      <c r="BH420" s="31">
        <f t="shared" si="416"/>
        <v>-70.3748928437419</v>
      </c>
      <c r="BI420" s="30" t="str">
        <f t="shared" si="369"/>
        <v>0,448623980742755+1,00632643557423i</v>
      </c>
      <c r="BJ420" s="68">
        <f t="shared" si="417"/>
        <v>0.842030786996194</v>
      </c>
      <c r="BK420" s="31">
        <f t="shared" si="370"/>
        <v>65.9725135708447</v>
      </c>
      <c r="BL420" s="32">
        <f t="shared" si="418"/>
        <v>-24.6375113639554</v>
      </c>
      <c r="BM420" s="31">
        <f t="shared" si="419"/>
        <v>-70.3748928437419</v>
      </c>
      <c r="BO420">
        <f t="shared" si="420"/>
        <v>0</v>
      </c>
      <c r="BP420">
        <f t="shared" si="421"/>
        <v>0</v>
      </c>
    </row>
    <row r="421" spans="14:68">
      <c r="N421" s="7">
        <v>3</v>
      </c>
      <c r="O421" s="18">
        <f t="shared" si="422"/>
        <v>107151.930523761</v>
      </c>
      <c r="P421" s="86" t="str">
        <f t="shared" si="372"/>
        <v>96,0576923076923</v>
      </c>
      <c r="Q421" s="4" t="str">
        <f t="shared" si="373"/>
        <v>1+898,692428636961i</v>
      </c>
      <c r="R421" s="4">
        <f t="shared" si="384"/>
        <v>898.692985000662</v>
      </c>
      <c r="S421" s="4">
        <f t="shared" si="385"/>
        <v>1.56968359950866</v>
      </c>
      <c r="T421" s="4" t="str">
        <f t="shared" si="374"/>
        <v>1+10,5566452286843i</v>
      </c>
      <c r="U421" s="4">
        <f t="shared" si="386"/>
        <v>10.6039029835388</v>
      </c>
      <c r="V421" s="4">
        <f t="shared" si="387"/>
        <v>1.4763510833056</v>
      </c>
      <c r="W421" t="str">
        <f t="shared" si="375"/>
        <v>1-5,01201268652102i</v>
      </c>
      <c r="X421" s="4">
        <f t="shared" si="388"/>
        <v>5.1107994648438</v>
      </c>
      <c r="Y421" s="4">
        <f t="shared" si="389"/>
        <v>-1.37386172843505</v>
      </c>
      <c r="Z421" t="str">
        <f t="shared" si="376"/>
        <v>0,906273173755355+8,59154324410319i</v>
      </c>
      <c r="AA421" s="4">
        <f t="shared" si="390"/>
        <v>8.6392098238649</v>
      </c>
      <c r="AB421" s="4">
        <f t="shared" si="391"/>
        <v>1.46570064584132</v>
      </c>
      <c r="AC421" s="67" t="str">
        <f t="shared" si="392"/>
        <v>-0,65595508476775-0,138919102101235i</v>
      </c>
      <c r="AD421" s="68">
        <f t="shared" si="393"/>
        <v>-3.47197276945332</v>
      </c>
      <c r="AE421" s="31">
        <f t="shared" si="394"/>
        <v>-168.042498979955</v>
      </c>
      <c r="AF421" s="32" t="str">
        <f t="shared" si="395"/>
        <v>236,914774604583</v>
      </c>
      <c r="AG421" s="32" t="str">
        <f t="shared" si="377"/>
        <v>1+221,929473557567i</v>
      </c>
      <c r="AH421" s="32">
        <f t="shared" si="396"/>
        <v>221.931726514122</v>
      </c>
      <c r="AI421" s="32">
        <f t="shared" si="397"/>
        <v>1.56629042130955</v>
      </c>
      <c r="AJ421" s="32" t="str">
        <f t="shared" si="378"/>
        <v>1+10,5566452286843i</v>
      </c>
      <c r="AK421" s="32">
        <f t="shared" si="398"/>
        <v>10.6039029835388</v>
      </c>
      <c r="AL421" s="32">
        <f t="shared" si="399"/>
        <v>1.4763510833056</v>
      </c>
      <c r="AM421" s="32" t="str">
        <f t="shared" si="379"/>
        <v>1-0,501814973335181i</v>
      </c>
      <c r="AN421" s="32">
        <f t="shared" si="400"/>
        <v>1.11884684718838</v>
      </c>
      <c r="AO421" s="32">
        <f t="shared" si="401"/>
        <v>-0.465098533294496</v>
      </c>
      <c r="AP421" s="30" t="str">
        <f t="shared" si="402"/>
        <v>10,763834161109-6,6742052024932i</v>
      </c>
      <c r="AQ421" s="32">
        <f t="shared" si="403"/>
        <v>22.0521828316876</v>
      </c>
      <c r="AR421" s="31">
        <f t="shared" si="404"/>
        <v>-31.8013274953264</v>
      </c>
      <c r="AS421" t="str">
        <f t="shared" si="380"/>
        <v>-0,000272527472527473</v>
      </c>
      <c r="AT421" t="str">
        <f t="shared" si="381"/>
        <v>0,151280496357484i</v>
      </c>
      <c r="AU421">
        <f t="shared" si="405"/>
        <v>0.151280496357484</v>
      </c>
      <c r="AV421">
        <f t="shared" si="406"/>
        <v>1.5707963267949</v>
      </c>
      <c r="AW421" t="str">
        <f t="shared" si="382"/>
        <v>1+7,74528393758255i</v>
      </c>
      <c r="AX421">
        <f t="shared" si="407"/>
        <v>7.80957254104053</v>
      </c>
      <c r="AY421">
        <f t="shared" si="408"/>
        <v>1.44239581948677</v>
      </c>
      <c r="AZ421" t="str">
        <f t="shared" si="383"/>
        <v>1+370,290489526552i</v>
      </c>
      <c r="BA421">
        <f t="shared" si="409"/>
        <v>370.291839815319</v>
      </c>
      <c r="BB421">
        <f t="shared" si="410"/>
        <v>1.56809575090314</v>
      </c>
      <c r="BC421" s="30" t="str">
        <f t="shared" si="411"/>
        <v>-0,0107086564846558+0,0847430563642868i</v>
      </c>
      <c r="BD421" s="32">
        <f t="shared" si="412"/>
        <v>-21.3691154809377</v>
      </c>
      <c r="BE421" s="31">
        <f t="shared" si="413"/>
        <v>97.2020755552416</v>
      </c>
      <c r="BF421" s="30" t="str">
        <f t="shared" si="414"/>
        <v>0,0187968269715822-0,054100001777355i</v>
      </c>
      <c r="BG421" s="68">
        <f t="shared" si="415"/>
        <v>-24.841088250391</v>
      </c>
      <c r="BH421" s="31">
        <f t="shared" si="416"/>
        <v>-70.8404234247133</v>
      </c>
      <c r="BI421" s="30" t="str">
        <f t="shared" si="369"/>
        <v>0,450326345172578+0,983631975832298i</v>
      </c>
      <c r="BJ421" s="68">
        <f t="shared" si="417"/>
        <v>0.683067350749976</v>
      </c>
      <c r="BK421" s="31">
        <f t="shared" si="370"/>
        <v>65.4007480599152</v>
      </c>
      <c r="BL421" s="32">
        <f t="shared" si="418"/>
        <v>-24.841088250391</v>
      </c>
      <c r="BM421" s="31">
        <f t="shared" si="419"/>
        <v>-70.8404234247133</v>
      </c>
      <c r="BO421">
        <f t="shared" si="420"/>
        <v>0</v>
      </c>
      <c r="BP421">
        <f t="shared" si="421"/>
        <v>0</v>
      </c>
    </row>
    <row r="422" spans="14:68">
      <c r="N422" s="7">
        <v>4</v>
      </c>
      <c r="O422" s="18">
        <f t="shared" si="422"/>
        <v>109647.819614319</v>
      </c>
      <c r="P422" s="86" t="str">
        <f t="shared" si="372"/>
        <v>96,0576923076923</v>
      </c>
      <c r="Q422" s="4" t="str">
        <f t="shared" si="373"/>
        <v>1+919,625664439975i</v>
      </c>
      <c r="R422" s="4">
        <f t="shared" si="384"/>
        <v>919.626208139299</v>
      </c>
      <c r="S422" s="4">
        <f t="shared" si="385"/>
        <v>1.56970892825381</v>
      </c>
      <c r="T422" s="4" t="str">
        <f t="shared" si="374"/>
        <v>1+10,8025410845067i</v>
      </c>
      <c r="U422" s="4">
        <f t="shared" si="386"/>
        <v>10.8487277540943</v>
      </c>
      <c r="V422" s="4">
        <f t="shared" si="387"/>
        <v>1.47848858753972</v>
      </c>
      <c r="W422" t="str">
        <f t="shared" si="375"/>
        <v>1-5,12875745933921i</v>
      </c>
      <c r="X422" s="4">
        <f t="shared" si="388"/>
        <v>5.22533760409101</v>
      </c>
      <c r="Y422" s="4">
        <f t="shared" si="389"/>
        <v>-1.37823328026622</v>
      </c>
      <c r="Z422" t="str">
        <f t="shared" si="376"/>
        <v>0,901855964521026+8,79166599456786i</v>
      </c>
      <c r="AA422" s="4">
        <f t="shared" si="390"/>
        <v>8.83780148797103</v>
      </c>
      <c r="AB422" s="4">
        <f t="shared" si="391"/>
        <v>1.46857310384328</v>
      </c>
      <c r="AC422" s="67" t="str">
        <f t="shared" si="392"/>
        <v>-0,656158118149761-0,135447567083226i</v>
      </c>
      <c r="AD422" s="68">
        <f t="shared" si="393"/>
        <v>-3.47860534276183</v>
      </c>
      <c r="AE422" s="31">
        <f t="shared" si="394"/>
        <v>-168.336531429036</v>
      </c>
      <c r="AF422" s="32" t="str">
        <f t="shared" si="395"/>
        <v>236,914774604583</v>
      </c>
      <c r="AG422" s="32" t="str">
        <f t="shared" si="377"/>
        <v>1+227,098875072015i</v>
      </c>
      <c r="AH422" s="32">
        <f t="shared" si="396"/>
        <v>227.10107674552</v>
      </c>
      <c r="AI422" s="32">
        <f t="shared" si="397"/>
        <v>1.56639298689927</v>
      </c>
      <c r="AJ422" s="32" t="str">
        <f t="shared" si="378"/>
        <v>1+10,8025410845067i</v>
      </c>
      <c r="AK422" s="32">
        <f t="shared" si="398"/>
        <v>10.8487277540943</v>
      </c>
      <c r="AL422" s="32">
        <f t="shared" si="399"/>
        <v>1.47848858753972</v>
      </c>
      <c r="AM422" s="32" t="str">
        <f t="shared" si="379"/>
        <v>1-0,513503745635445i</v>
      </c>
      <c r="AN422" s="32">
        <f t="shared" si="400"/>
        <v>1.12413793494465</v>
      </c>
      <c r="AO422" s="32">
        <f t="shared" si="401"/>
        <v>-0.474392153151356</v>
      </c>
      <c r="AP422" s="30" t="str">
        <f t="shared" si="402"/>
        <v>10,7636275069873-6,78273649420273i</v>
      </c>
      <c r="AQ422" s="32">
        <f t="shared" si="403"/>
        <v>22.0914273290658</v>
      </c>
      <c r="AR422" s="31">
        <f t="shared" si="404"/>
        <v>-32.217219293631</v>
      </c>
      <c r="AS422" t="str">
        <f t="shared" si="380"/>
        <v>-0,000272527472527473</v>
      </c>
      <c r="AT422" t="str">
        <f t="shared" si="381"/>
        <v>0,154804271791368i</v>
      </c>
      <c r="AU422">
        <f t="shared" si="405"/>
        <v>0.154804271791368</v>
      </c>
      <c r="AV422">
        <f t="shared" si="406"/>
        <v>1.5707963267949</v>
      </c>
      <c r="AW422" t="str">
        <f t="shared" si="382"/>
        <v>1+7,92569477655292i</v>
      </c>
      <c r="AX422">
        <f t="shared" si="407"/>
        <v>7.98853163548084</v>
      </c>
      <c r="AY422">
        <f t="shared" si="408"/>
        <v>1.44528762451635</v>
      </c>
      <c r="AZ422" t="str">
        <f t="shared" si="383"/>
        <v>1+378,915663040731i</v>
      </c>
      <c r="BA422">
        <f t="shared" si="409"/>
        <v>378.916982593281</v>
      </c>
      <c r="BB422">
        <f t="shared" si="410"/>
        <v>1.5681572232267</v>
      </c>
      <c r="BC422" s="30" t="str">
        <f t="shared" si="411"/>
        <v>-0,0102342399516205+0,0828739269339707i</v>
      </c>
      <c r="BD422" s="32">
        <f t="shared" si="412"/>
        <v>-21.5659108280753</v>
      </c>
      <c r="BE422" s="31">
        <f t="shared" si="413"/>
        <v>97.0399094365689</v>
      </c>
      <c r="BF422" s="30" t="str">
        <f t="shared" si="414"/>
        <v>0,0179403514051878-0,0529921970382821i</v>
      </c>
      <c r="BG422" s="68">
        <f t="shared" si="415"/>
        <v>-25.0445161708371</v>
      </c>
      <c r="BH422" s="31">
        <f t="shared" si="416"/>
        <v>-71.2966219924673</v>
      </c>
      <c r="BI422" s="30" t="str">
        <f t="shared" si="369"/>
        <v>0,451954461976563+0,961440232368827i</v>
      </c>
      <c r="BJ422" s="68">
        <f t="shared" si="417"/>
        <v>0.525516500990528</v>
      </c>
      <c r="BK422" s="31">
        <f t="shared" si="370"/>
        <v>64.8226901429378</v>
      </c>
      <c r="BL422" s="32">
        <f t="shared" si="418"/>
        <v>-25.0445161708371</v>
      </c>
      <c r="BM422" s="31">
        <f t="shared" si="419"/>
        <v>-71.2966219924673</v>
      </c>
      <c r="BO422">
        <f t="shared" si="420"/>
        <v>0</v>
      </c>
      <c r="BP422">
        <f t="shared" si="421"/>
        <v>0</v>
      </c>
    </row>
    <row r="423" spans="14:68">
      <c r="N423" s="7">
        <v>5</v>
      </c>
      <c r="O423" s="18">
        <f t="shared" si="422"/>
        <v>112201.845430197</v>
      </c>
      <c r="P423" s="86" t="str">
        <f t="shared" si="372"/>
        <v>96,0576923076923</v>
      </c>
      <c r="Q423" s="4" t="str">
        <f t="shared" si="373"/>
        <v>1+941,04649794296i</v>
      </c>
      <c r="R423" s="4">
        <f t="shared" si="384"/>
        <v>941.047029266183</v>
      </c>
      <c r="S423" s="4">
        <f t="shared" si="385"/>
        <v>1.56973368044769</v>
      </c>
      <c r="T423" s="4" t="str">
        <f t="shared" si="374"/>
        <v>1+11,0541645906006i</v>
      </c>
      <c r="U423" s="4">
        <f t="shared" si="386"/>
        <v>11.0993042482891</v>
      </c>
      <c r="V423" s="4">
        <f t="shared" si="387"/>
        <v>1.48057825393395</v>
      </c>
      <c r="W423" t="str">
        <f t="shared" si="375"/>
        <v>1-5,24822156724946i</v>
      </c>
      <c r="X423" s="4">
        <f t="shared" si="388"/>
        <v>5.34264256889251</v>
      </c>
      <c r="Y423" s="4">
        <f t="shared" si="389"/>
        <v>-1.38251253652597</v>
      </c>
      <c r="Z423" t="str">
        <f t="shared" si="376"/>
        <v>0,897230578629046+8,99645020271431i</v>
      </c>
      <c r="AA423" s="4">
        <f t="shared" si="390"/>
        <v>9.04108063016503</v>
      </c>
      <c r="AB423" s="4">
        <f t="shared" si="391"/>
        <v>1.47139340130633</v>
      </c>
      <c r="AC423" s="67" t="str">
        <f t="shared" si="392"/>
        <v>-0,656351898374729-0,132045811814027i</v>
      </c>
      <c r="AD423" s="68">
        <f t="shared" si="393"/>
        <v>-3.48495290220992</v>
      </c>
      <c r="AE423" s="31">
        <f t="shared" si="394"/>
        <v>-168.624995025042</v>
      </c>
      <c r="AF423" s="32" t="str">
        <f t="shared" si="395"/>
        <v>236,914774604583</v>
      </c>
      <c r="AG423" s="32" t="str">
        <f t="shared" si="377"/>
        <v>1+232,388687416036i</v>
      </c>
      <c r="AH423" s="32">
        <f t="shared" si="396"/>
        <v>232.390838973803</v>
      </c>
      <c r="AI423" s="32">
        <f t="shared" si="397"/>
        <v>1.56649321790064</v>
      </c>
      <c r="AJ423" s="32" t="str">
        <f t="shared" si="378"/>
        <v>1+11,0541645906006i</v>
      </c>
      <c r="AK423" s="32">
        <f t="shared" si="398"/>
        <v>11.0993042482891</v>
      </c>
      <c r="AL423" s="32">
        <f t="shared" si="399"/>
        <v>1.48057825393395</v>
      </c>
      <c r="AM423" s="32" t="str">
        <f t="shared" si="379"/>
        <v>1-0,52546478441867i</v>
      </c>
      <c r="AN423" s="32">
        <f t="shared" si="400"/>
        <v>1.12965182231702</v>
      </c>
      <c r="AO423" s="32">
        <f t="shared" si="401"/>
        <v>-0.483811290059046</v>
      </c>
      <c r="AP423" s="30" t="str">
        <f t="shared" si="402"/>
        <v>10,7634301534807-6,89486400065025i</v>
      </c>
      <c r="AQ423" s="32">
        <f t="shared" si="403"/>
        <v>22.1322700978965</v>
      </c>
      <c r="AR423" s="31">
        <f t="shared" si="404"/>
        <v>-32.6429098334733</v>
      </c>
      <c r="AS423" t="str">
        <f t="shared" si="380"/>
        <v>-0,000272527472527473</v>
      </c>
      <c r="AT423" t="str">
        <f t="shared" si="381"/>
        <v>0,158410126499232i</v>
      </c>
      <c r="AU423">
        <f t="shared" si="405"/>
        <v>0.158410126499232</v>
      </c>
      <c r="AV423">
        <f t="shared" si="406"/>
        <v>1.5707963267949</v>
      </c>
      <c r="AW423" t="str">
        <f t="shared" si="382"/>
        <v>1+8,11030792380279i</v>
      </c>
      <c r="AX423">
        <f t="shared" si="407"/>
        <v>8.17172531469936</v>
      </c>
      <c r="AY423">
        <f t="shared" si="408"/>
        <v>1.44811564457724</v>
      </c>
      <c r="AZ423" t="str">
        <f t="shared" si="383"/>
        <v>1+387,741742654997i</v>
      </c>
      <c r="BA423">
        <f t="shared" si="409"/>
        <v>387.743032170965</v>
      </c>
      <c r="BB423">
        <f t="shared" si="410"/>
        <v>1.56821729628861</v>
      </c>
      <c r="BC423" s="30" t="str">
        <f t="shared" si="411"/>
        <v>-0,00978052110178646+0,0810434295267357i</v>
      </c>
      <c r="BD423" s="32">
        <f t="shared" si="412"/>
        <v>-21.7628481973439</v>
      </c>
      <c r="BE423" s="31">
        <f t="shared" si="413"/>
        <v>96.8813177556118</v>
      </c>
      <c r="BF423" s="30" t="str">
        <f t="shared" si="414"/>
        <v>0,0171209090363023-0,0519015319718219i</v>
      </c>
      <c r="BG423" s="68">
        <f t="shared" si="415"/>
        <v>-25.2478010995538</v>
      </c>
      <c r="BH423" s="31">
        <f t="shared" si="416"/>
        <v>-71.7436772694298</v>
      </c>
      <c r="BI423" s="30" t="str">
        <f t="shared" si="369"/>
        <v>0,453511468989403+0,939740655961863i</v>
      </c>
      <c r="BJ423" s="68">
        <f t="shared" si="417"/>
        <v>0.369421900552584</v>
      </c>
      <c r="BK423" s="31">
        <f t="shared" si="370"/>
        <v>64.2384079221385</v>
      </c>
      <c r="BL423" s="32">
        <f t="shared" si="418"/>
        <v>-25.2478010995538</v>
      </c>
      <c r="BM423" s="31">
        <f t="shared" si="419"/>
        <v>-71.7436772694298</v>
      </c>
      <c r="BO423">
        <f t="shared" si="420"/>
        <v>0</v>
      </c>
      <c r="BP423">
        <f t="shared" si="421"/>
        <v>0</v>
      </c>
    </row>
    <row r="424" spans="14:68">
      <c r="N424" s="7">
        <v>6</v>
      </c>
      <c r="O424" s="18">
        <f t="shared" si="422"/>
        <v>114815.362149688</v>
      </c>
      <c r="P424" s="86" t="str">
        <f t="shared" si="372"/>
        <v>96,0576923076923</v>
      </c>
      <c r="Q424" s="4" t="str">
        <f t="shared" si="373"/>
        <v>1+962,966286755368i</v>
      </c>
      <c r="R424" s="4">
        <f t="shared" si="384"/>
        <v>962.966805984205</v>
      </c>
      <c r="S424" s="4">
        <f t="shared" si="385"/>
        <v>1.5697578692141</v>
      </c>
      <c r="T424" s="4" t="str">
        <f t="shared" si="374"/>
        <v>1+11,3116491610796i</v>
      </c>
      <c r="U424" s="4">
        <f t="shared" si="386"/>
        <v>11.3557653526019</v>
      </c>
      <c r="V424" s="4">
        <f t="shared" si="387"/>
        <v>1.48262111741706</v>
      </c>
      <c r="W424" t="str">
        <f t="shared" si="375"/>
        <v>1-5,37046835170305i</v>
      </c>
      <c r="X424" s="4">
        <f t="shared" si="388"/>
        <v>5.46277679542594</v>
      </c>
      <c r="Y424" s="4">
        <f t="shared" si="389"/>
        <v>-1.38670113893479</v>
      </c>
      <c r="Z424" t="str">
        <f t="shared" si="376"/>
        <v>0,892387205015804+9,20600444784025i</v>
      </c>
      <c r="AA424" s="4">
        <f t="shared" si="390"/>
        <v>9.24915524885005</v>
      </c>
      <c r="AB424" s="4">
        <f t="shared" si="391"/>
        <v>1.47416289916211</v>
      </c>
      <c r="AC424" s="67" t="str">
        <f t="shared" si="392"/>
        <v>-0,656536806167633-0,128712165799063i</v>
      </c>
      <c r="AD424" s="68">
        <f t="shared" si="393"/>
        <v>-3.4910274268507</v>
      </c>
      <c r="AE424" s="31">
        <f t="shared" si="394"/>
        <v>-168.908003262155</v>
      </c>
      <c r="AF424" s="32" t="str">
        <f t="shared" si="395"/>
        <v>236,914774604583</v>
      </c>
      <c r="AG424" s="32" t="str">
        <f t="shared" si="377"/>
        <v>1+237,80171531815i</v>
      </c>
      <c r="AH424" s="32">
        <f t="shared" si="396"/>
        <v>237.803817900921</v>
      </c>
      <c r="AI424" s="32">
        <f t="shared" si="397"/>
        <v>1.56659116744943</v>
      </c>
      <c r="AJ424" s="32" t="str">
        <f t="shared" si="378"/>
        <v>1+11,3116491610796i</v>
      </c>
      <c r="AK424" s="32">
        <f t="shared" si="398"/>
        <v>11.3557653526019</v>
      </c>
      <c r="AL424" s="32">
        <f t="shared" si="399"/>
        <v>1.48262111741706</v>
      </c>
      <c r="AM424" s="32" t="str">
        <f t="shared" si="379"/>
        <v>1-0,537704431585938i</v>
      </c>
      <c r="AN424" s="32">
        <f t="shared" si="400"/>
        <v>1.13539687147145</v>
      </c>
      <c r="AO424" s="32">
        <f t="shared" si="401"/>
        <v>-0.493354251957605</v>
      </c>
      <c r="AP424" s="30" t="str">
        <f t="shared" si="402"/>
        <v>10,7632416820236-7,01064717879221i</v>
      </c>
      <c r="AQ424" s="32">
        <f t="shared" si="403"/>
        <v>22.1747485123239</v>
      </c>
      <c r="AR424" s="31">
        <f t="shared" si="404"/>
        <v>-33.0782459143618</v>
      </c>
      <c r="AS424" t="str">
        <f t="shared" si="380"/>
        <v>-0,000272527472527473</v>
      </c>
      <c r="AT424" t="str">
        <f t="shared" si="381"/>
        <v>0,162099972352971i</v>
      </c>
      <c r="AU424">
        <f t="shared" si="405"/>
        <v>0.162099972352971</v>
      </c>
      <c r="AV424">
        <f t="shared" si="406"/>
        <v>1.5707963267949</v>
      </c>
      <c r="AW424" t="str">
        <f t="shared" si="382"/>
        <v>1+8,29922126366639i</v>
      </c>
      <c r="AX424">
        <f t="shared" si="407"/>
        <v>8.35925077882536</v>
      </c>
      <c r="AY424">
        <f t="shared" si="408"/>
        <v>1.45088119808521</v>
      </c>
      <c r="AZ424" t="str">
        <f t="shared" si="383"/>
        <v>1+396,773408073582i</v>
      </c>
      <c r="BA424">
        <f t="shared" si="409"/>
        <v>396.774668236677</v>
      </c>
      <c r="BB424">
        <f t="shared" si="410"/>
        <v>1.56827600193868</v>
      </c>
      <c r="BC424" s="30" t="str">
        <f t="shared" si="411"/>
        <v>-0,00934662471601101+0,0792509374256693i</v>
      </c>
      <c r="BD424" s="32">
        <f t="shared" si="412"/>
        <v>-21.9599213883901</v>
      </c>
      <c r="BE424" s="31">
        <f t="shared" si="413"/>
        <v>96.7262267975702</v>
      </c>
      <c r="BF424" s="30" t="str">
        <f t="shared" si="414"/>
        <v>0,0163369629371612-0,050828133033131i</v>
      </c>
      <c r="BG424" s="68">
        <f t="shared" si="415"/>
        <v>-25.4509488152409</v>
      </c>
      <c r="BH424" s="31">
        <f t="shared" si="416"/>
        <v>-72.1817764645852</v>
      </c>
      <c r="BI424" s="30" t="str">
        <f t="shared" si="369"/>
        <v>0,455000380150305+0,91852288123594i</v>
      </c>
      <c r="BJ424" s="68">
        <f t="shared" si="417"/>
        <v>0.214827123933769</v>
      </c>
      <c r="BK424" s="31">
        <f t="shared" si="370"/>
        <v>63.6479808832084</v>
      </c>
      <c r="BL424" s="32">
        <f t="shared" si="418"/>
        <v>-25.4509488152409</v>
      </c>
      <c r="BM424" s="31">
        <f t="shared" si="419"/>
        <v>-72.1817764645852</v>
      </c>
      <c r="BO424">
        <f t="shared" si="420"/>
        <v>0</v>
      </c>
      <c r="BP424">
        <f t="shared" si="421"/>
        <v>0</v>
      </c>
    </row>
    <row r="425" spans="14:68">
      <c r="N425" s="7">
        <v>7</v>
      </c>
      <c r="O425" s="18">
        <f t="shared" si="422"/>
        <v>117489.755493953</v>
      </c>
      <c r="P425" s="86" t="str">
        <f t="shared" si="372"/>
        <v>96,0576923076923</v>
      </c>
      <c r="Q425" s="4" t="str">
        <f t="shared" si="373"/>
        <v>1+985,39665303939i</v>
      </c>
      <c r="R425" s="4">
        <f t="shared" si="384"/>
        <v>985.397160449142</v>
      </c>
      <c r="S425" s="4">
        <f t="shared" si="385"/>
        <v>1.56978150737814</v>
      </c>
      <c r="T425" s="4" t="str">
        <f t="shared" si="374"/>
        <v>1+11,5751313176713i</v>
      </c>
      <c r="U425" s="4">
        <f t="shared" si="386"/>
        <v>11.6182470717977</v>
      </c>
      <c r="V425" s="4">
        <f t="shared" si="387"/>
        <v>1.48461819290084</v>
      </c>
      <c r="W425" t="str">
        <f t="shared" si="375"/>
        <v>1-5,49556262956332i</v>
      </c>
      <c r="X425" s="4">
        <f t="shared" si="388"/>
        <v>5.58580420489771</v>
      </c>
      <c r="Y425" s="4">
        <f t="shared" si="389"/>
        <v>-1.3908007201672</v>
      </c>
      <c r="Z425" t="str">
        <f t="shared" si="376"/>
        <v>0,887315570236498+9,42043983838041i</v>
      </c>
      <c r="AA425" s="4">
        <f t="shared" si="390"/>
        <v>9.46213589364097</v>
      </c>
      <c r="AB425" s="4">
        <f t="shared" si="391"/>
        <v>1.47688294014832</v>
      </c>
      <c r="AC425" s="67" t="str">
        <f t="shared" si="392"/>
        <v>-0,656713206039367-0,125444986158852i</v>
      </c>
      <c r="AD425" s="68">
        <f t="shared" si="393"/>
        <v>-3.49684044118057</v>
      </c>
      <c r="AE425" s="31">
        <f t="shared" si="394"/>
        <v>-169.185669203601</v>
      </c>
      <c r="AF425" s="32" t="str">
        <f t="shared" si="395"/>
        <v>236,914774604583</v>
      </c>
      <c r="AG425" s="32" t="str">
        <f t="shared" si="377"/>
        <v>1+243,340828837407i</v>
      </c>
      <c r="AH425" s="32">
        <f t="shared" si="396"/>
        <v>243.34288355996</v>
      </c>
      <c r="AI425" s="32">
        <f t="shared" si="397"/>
        <v>1.56668688747225</v>
      </c>
      <c r="AJ425" s="32" t="str">
        <f t="shared" si="378"/>
        <v>1+11,5751313176713i</v>
      </c>
      <c r="AK425" s="32">
        <f t="shared" si="398"/>
        <v>11.6182470717977</v>
      </c>
      <c r="AL425" s="32">
        <f t="shared" si="399"/>
        <v>1.48461819290084</v>
      </c>
      <c r="AM425" s="32" t="str">
        <f t="shared" si="379"/>
        <v>1-0,550229176760198i</v>
      </c>
      <c r="AN425" s="32">
        <f t="shared" si="400"/>
        <v>1.14138168329363</v>
      </c>
      <c r="AO425" s="32">
        <f t="shared" si="401"/>
        <v>-0.503019145347661</v>
      </c>
      <c r="AP425" s="30" t="str">
        <f t="shared" si="402"/>
        <v>10,7630616928861-7,13014742350568i</v>
      </c>
      <c r="AQ425" s="32">
        <f t="shared" si="403"/>
        <v>22.2189000377164</v>
      </c>
      <c r="AR425" s="31">
        <f t="shared" si="404"/>
        <v>-33.5230638717885</v>
      </c>
      <c r="AS425" t="str">
        <f t="shared" si="380"/>
        <v>-0,000272527472527473</v>
      </c>
      <c r="AT425" t="str">
        <f t="shared" si="381"/>
        <v>0,1658757657577i</v>
      </c>
      <c r="AU425">
        <f t="shared" si="405"/>
        <v>0.1658757657577</v>
      </c>
      <c r="AV425">
        <f t="shared" si="406"/>
        <v>1.5707963267949</v>
      </c>
      <c r="AW425" t="str">
        <f t="shared" si="382"/>
        <v>1+8,49253496049727i</v>
      </c>
      <c r="AX425">
        <f t="shared" si="407"/>
        <v>8.55120752030194</v>
      </c>
      <c r="AY425">
        <f t="shared" si="408"/>
        <v>1.45358558206863</v>
      </c>
      <c r="AZ425" t="str">
        <f t="shared" si="383"/>
        <v>1+406,01544800505i</v>
      </c>
      <c r="BA425">
        <f t="shared" si="409"/>
        <v>406.016679483419</v>
      </c>
      <c r="BB425">
        <f t="shared" si="410"/>
        <v>1.56833337130179</v>
      </c>
      <c r="BC425" s="30" t="str">
        <f t="shared" si="411"/>
        <v>-0,00893171017034252+0,0774958222315921i</v>
      </c>
      <c r="BD425" s="32">
        <f t="shared" si="412"/>
        <v>-22.1571244634179</v>
      </c>
      <c r="BE425" s="31">
        <f t="shared" si="413"/>
        <v>96.5745640315169</v>
      </c>
      <c r="BF425" s="30" t="str">
        <f t="shared" si="414"/>
        <v>0,015587034368591-0,0497720916136722i</v>
      </c>
      <c r="BG425" s="68">
        <f t="shared" si="415"/>
        <v>-25.6539649045985</v>
      </c>
      <c r="BH425" s="31">
        <f t="shared" si="416"/>
        <v>-72.6111051720843</v>
      </c>
      <c r="BI425" s="30" t="str">
        <f t="shared" si="369"/>
        <v>0,456424089630666+0,897776725878127i</v>
      </c>
      <c r="BJ425" s="68">
        <f t="shared" si="417"/>
        <v>0.061775574298442</v>
      </c>
      <c r="BK425" s="31">
        <f t="shared" si="370"/>
        <v>63.0515001597284</v>
      </c>
      <c r="BL425" s="32">
        <f t="shared" si="418"/>
        <v>-25.6539649045985</v>
      </c>
      <c r="BM425" s="31">
        <f t="shared" si="419"/>
        <v>-72.6111051720843</v>
      </c>
      <c r="BO425">
        <f t="shared" si="420"/>
        <v>0</v>
      </c>
      <c r="BP425">
        <f t="shared" si="421"/>
        <v>0</v>
      </c>
    </row>
    <row r="426" spans="14:68">
      <c r="N426" s="7">
        <v>8</v>
      </c>
      <c r="O426" s="18">
        <f t="shared" si="422"/>
        <v>120226.443461741</v>
      </c>
      <c r="P426" s="86" t="str">
        <f t="shared" si="372"/>
        <v>96,0576923076923</v>
      </c>
      <c r="Q426" s="4" t="str">
        <f t="shared" si="373"/>
        <v>1+1008,34948967211i</v>
      </c>
      <c r="R426" s="4">
        <f t="shared" si="384"/>
        <v>1008.34998553181</v>
      </c>
      <c r="S426" s="4">
        <f t="shared" si="385"/>
        <v>1.56980460747297</v>
      </c>
      <c r="T426" s="4" t="str">
        <f t="shared" si="374"/>
        <v>1+11,8447507621024i</v>
      </c>
      <c r="U426" s="4">
        <f t="shared" si="386"/>
        <v>11.8868886011574</v>
      </c>
      <c r="V426" s="4">
        <f t="shared" si="387"/>
        <v>1.48657047550616</v>
      </c>
      <c r="W426" t="str">
        <f t="shared" si="375"/>
        <v>1-5,62357072747212i</v>
      </c>
      <c r="X426" s="4">
        <f t="shared" si="388"/>
        <v>5.71179023834746</v>
      </c>
      <c r="Y426" s="4">
        <f t="shared" si="389"/>
        <v>-1.39481290240606</v>
      </c>
      <c r="Z426" t="str">
        <f t="shared" si="376"/>
        <v>0,882004916673802+9,63987007081708i</v>
      </c>
      <c r="AA426" s="4">
        <f t="shared" si="390"/>
        <v>9.68013572504392</v>
      </c>
      <c r="AB426" s="4">
        <f t="shared" si="391"/>
        <v>1.4795548489585</v>
      </c>
      <c r="AC426" s="67" t="str">
        <f t="shared" si="392"/>
        <v>-0,656881446838701-0,122242657290573i</v>
      </c>
      <c r="AD426" s="68">
        <f t="shared" si="393"/>
        <v>-3.5024030293726</v>
      </c>
      <c r="AE426" s="31">
        <f t="shared" si="394"/>
        <v>-169.458105394831</v>
      </c>
      <c r="AF426" s="32" t="str">
        <f t="shared" si="395"/>
        <v>236,914774604583</v>
      </c>
      <c r="AG426" s="32" t="str">
        <f t="shared" si="377"/>
        <v>1+249,008964885108i</v>
      </c>
      <c r="AH426" s="32">
        <f t="shared" si="396"/>
        <v>249.010972836847</v>
      </c>
      <c r="AI426" s="32">
        <f t="shared" si="397"/>
        <v>1.56678042871411</v>
      </c>
      <c r="AJ426" s="32" t="str">
        <f t="shared" si="378"/>
        <v>1+11,8447507621024i</v>
      </c>
      <c r="AK426" s="32">
        <f t="shared" si="398"/>
        <v>11.8868886011574</v>
      </c>
      <c r="AL426" s="32">
        <f t="shared" si="399"/>
        <v>1.48657047550616</v>
      </c>
      <c r="AM426" s="32" t="str">
        <f t="shared" si="379"/>
        <v>1-0,563045660727117i</v>
      </c>
      <c r="AN426" s="32">
        <f t="shared" si="400"/>
        <v>1.14761509926614</v>
      </c>
      <c r="AO426" s="32">
        <f t="shared" si="401"/>
        <v>-0.51280387151467</v>
      </c>
      <c r="AP426" s="30" t="str">
        <f t="shared" si="402"/>
        <v>10,7628898043267-7,25342810016484i</v>
      </c>
      <c r="AQ426" s="32">
        <f t="shared" si="403"/>
        <v>22.2647621326978</v>
      </c>
      <c r="AR426" s="31">
        <f t="shared" si="404"/>
        <v>-33.9771893495165</v>
      </c>
      <c r="AS426" t="str">
        <f t="shared" si="380"/>
        <v>-0,000272527472527473</v>
      </c>
      <c r="AT426" t="str">
        <f t="shared" si="381"/>
        <v>0,169739508689057i</v>
      </c>
      <c r="AU426">
        <f t="shared" si="405"/>
        <v>0.169739508689057</v>
      </c>
      <c r="AV426">
        <f t="shared" si="406"/>
        <v>1.5707963267949</v>
      </c>
      <c r="AW426" t="str">
        <f t="shared" si="382"/>
        <v>1+8,69035151177614i</v>
      </c>
      <c r="AX426">
        <f t="shared" si="407"/>
        <v>8.74769737692325</v>
      </c>
      <c r="AY426">
        <f t="shared" si="408"/>
        <v>1.45623007211031</v>
      </c>
      <c r="AZ426" t="str">
        <f t="shared" si="383"/>
        <v>1+415,472762701297i</v>
      </c>
      <c r="BA426">
        <f t="shared" si="409"/>
        <v>415.473966147878</v>
      </c>
      <c r="BB426">
        <f t="shared" si="410"/>
        <v>1.56838943479443</v>
      </c>
      <c r="BC426" s="30" t="str">
        <f t="shared" si="411"/>
        <v>-0,008534970280814+0,0757774548695113i</v>
      </c>
      <c r="BD426" s="32">
        <f t="shared" si="412"/>
        <v>-22.3544517367775</v>
      </c>
      <c r="BE426" s="31">
        <f t="shared" si="413"/>
        <v>96.426258114677</v>
      </c>
      <c r="BF426" s="30" t="str">
        <f t="shared" si="414"/>
        <v>0,0148697010727519-0,0487334667454162i</v>
      </c>
      <c r="BG426" s="68">
        <f t="shared" si="415"/>
        <v>-25.8568547661501</v>
      </c>
      <c r="BH426" s="31">
        <f t="shared" si="416"/>
        <v>-73.0318472801539</v>
      </c>
      <c r="BI426" s="30" t="str">
        <f t="shared" si="369"/>
        <v>0,457785375893882+0,877492189681818i</v>
      </c>
      <c r="BJ426" s="68">
        <f t="shared" si="417"/>
        <v>-0.0896896040797422</v>
      </c>
      <c r="BK426" s="31">
        <f t="shared" si="370"/>
        <v>62.4490687651605</v>
      </c>
      <c r="BL426" s="32">
        <f t="shared" si="418"/>
        <v>-25.8568547661501</v>
      </c>
      <c r="BM426" s="31">
        <f t="shared" si="419"/>
        <v>-73.0318472801539</v>
      </c>
      <c r="BO426">
        <f t="shared" si="420"/>
        <v>0</v>
      </c>
      <c r="BP426">
        <f t="shared" si="421"/>
        <v>0</v>
      </c>
    </row>
    <row r="427" spans="14:68">
      <c r="N427" s="7">
        <v>9</v>
      </c>
      <c r="O427" s="18">
        <f t="shared" si="422"/>
        <v>123026.877081238</v>
      </c>
      <c r="P427" s="86" t="str">
        <f t="shared" si="372"/>
        <v>96,0576923076923</v>
      </c>
      <c r="Q427" s="4" t="str">
        <f t="shared" si="373"/>
        <v>1+1031,83696655135i</v>
      </c>
      <c r="R427" s="4">
        <f t="shared" si="384"/>
        <v>1031.83745112391</v>
      </c>
      <c r="S427" s="4">
        <f t="shared" si="385"/>
        <v>1.56982718174647</v>
      </c>
      <c r="T427" s="4" t="str">
        <f t="shared" si="374"/>
        <v>1+12,1206504501716i</v>
      </c>
      <c r="U427" s="4">
        <f t="shared" si="386"/>
        <v>12.1618324003928</v>
      </c>
      <c r="V427" s="4">
        <f t="shared" si="387"/>
        <v>1.48847894079847</v>
      </c>
      <c r="W427" t="str">
        <f t="shared" si="375"/>
        <v>1-5,75456051701741i</v>
      </c>
      <c r="X427" s="4">
        <f t="shared" si="388"/>
        <v>5.84080189220758</v>
      </c>
      <c r="Y427" s="4">
        <f t="shared" si="389"/>
        <v>-1.39873929601604</v>
      </c>
      <c r="Z427" t="str">
        <f t="shared" si="376"/>
        <v>0,876443979719493+9,86441148996411i</v>
      </c>
      <c r="AA427" s="4">
        <f t="shared" si="390"/>
        <v>9.90327057556859</v>
      </c>
      <c r="AB427" s="4">
        <f t="shared" si="391"/>
        <v>1.48217993241729</v>
      </c>
      <c r="AC427" s="67" t="str">
        <f t="shared" si="392"/>
        <v>-0,657041862289492-0,11910359051263i</v>
      </c>
      <c r="AD427" s="68">
        <f t="shared" si="393"/>
        <v>-3.50772584938295</v>
      </c>
      <c r="AE427" s="31">
        <f t="shared" si="394"/>
        <v>-169.725423784449</v>
      </c>
      <c r="AF427" s="32" t="str">
        <f t="shared" si="395"/>
        <v>236,914774604583</v>
      </c>
      <c r="AG427" s="32" t="str">
        <f t="shared" si="377"/>
        <v>1+254,809128782016i</v>
      </c>
      <c r="AH427" s="32">
        <f t="shared" si="396"/>
        <v>254.811091027549</v>
      </c>
      <c r="AI427" s="32">
        <f t="shared" si="397"/>
        <v>1.56687184076525</v>
      </c>
      <c r="AJ427" s="32" t="str">
        <f t="shared" si="378"/>
        <v>1+12,1206504501716i</v>
      </c>
      <c r="AK427" s="32">
        <f t="shared" si="398"/>
        <v>12.1618324003928</v>
      </c>
      <c r="AL427" s="32">
        <f t="shared" si="399"/>
        <v>1.48847894079847</v>
      </c>
      <c r="AM427" s="32" t="str">
        <f t="shared" si="379"/>
        <v>1-0,576160678956147i</v>
      </c>
      <c r="AN427" s="32">
        <f t="shared" si="400"/>
        <v>1.15410620307457</v>
      </c>
      <c r="AO427" s="32">
        <f t="shared" si="401"/>
        <v>-0.522706123348134</v>
      </c>
      <c r="AP427" s="30" t="str">
        <f t="shared" si="402"/>
        <v>10,762725651783-7,3805545782614i</v>
      </c>
      <c r="AQ427" s="32">
        <f t="shared" si="403"/>
        <v>22.3123721472078</v>
      </c>
      <c r="AR427" s="31">
        <f t="shared" si="404"/>
        <v>-34.4404371053803</v>
      </c>
      <c r="AS427" t="str">
        <f t="shared" si="380"/>
        <v>-0,000272527472527473</v>
      </c>
      <c r="AT427" t="str">
        <f t="shared" si="381"/>
        <v>0,173693249754691i</v>
      </c>
      <c r="AU427">
        <f t="shared" si="405"/>
        <v>0.173693249754691</v>
      </c>
      <c r="AV427">
        <f t="shared" si="406"/>
        <v>1.5707963267949</v>
      </c>
      <c r="AW427" t="str">
        <f t="shared" si="382"/>
        <v>1+8,892775802457i</v>
      </c>
      <c r="AX427">
        <f t="shared" si="407"/>
        <v>8.94882458609871</v>
      </c>
      <c r="AY427">
        <f t="shared" si="408"/>
        <v>1.45881592232379</v>
      </c>
      <c r="AZ427" t="str">
        <f t="shared" si="383"/>
        <v>1+425,150366555763i</v>
      </c>
      <c r="BA427">
        <f t="shared" si="409"/>
        <v>425.151542608632</v>
      </c>
      <c r="BB427">
        <f t="shared" si="410"/>
        <v>1.5684442221408</v>
      </c>
      <c r="BC427" s="30" t="str">
        <f t="shared" si="411"/>
        <v>-0,00815563016739197+0,074095206517539i</v>
      </c>
      <c r="BD427" s="32">
        <f t="shared" si="412"/>
        <v>-22.5518977649058</v>
      </c>
      <c r="BE427" s="31">
        <f t="shared" si="413"/>
        <v>96.2812388947097</v>
      </c>
      <c r="BF427" s="30" t="str">
        <f t="shared" si="414"/>
        <v>0,0141835955693413-0,0477122876411788i</v>
      </c>
      <c r="BG427" s="68">
        <f t="shared" si="415"/>
        <v>-26.0596236142888</v>
      </c>
      <c r="BH427" s="31">
        <f t="shared" si="416"/>
        <v>-73.444184889739</v>
      </c>
      <c r="BI427" s="30" t="str">
        <f t="shared" si="369"/>
        <v>0,459086905681201+0,857659453431027i</v>
      </c>
      <c r="BJ427" s="68">
        <f t="shared" si="417"/>
        <v>-0.239525617698054</v>
      </c>
      <c r="BK427" s="31">
        <f t="shared" si="370"/>
        <v>61.8408017893294</v>
      </c>
      <c r="BL427" s="32">
        <f t="shared" si="418"/>
        <v>-26.0596236142888</v>
      </c>
      <c r="BM427" s="31">
        <f t="shared" si="419"/>
        <v>-73.444184889739</v>
      </c>
      <c r="BO427">
        <f t="shared" si="420"/>
        <v>0</v>
      </c>
      <c r="BP427">
        <f t="shared" si="421"/>
        <v>0</v>
      </c>
    </row>
    <row r="428" spans="14:68">
      <c r="N428" s="7">
        <v>10</v>
      </c>
      <c r="O428" s="18">
        <f t="shared" si="422"/>
        <v>125892.541179417</v>
      </c>
      <c r="P428" s="86" t="str">
        <f t="shared" si="372"/>
        <v>96,0576923076923</v>
      </c>
      <c r="Q428" s="4" t="str">
        <f t="shared" si="373"/>
        <v>1+1055,87153704823i</v>
      </c>
      <c r="R428" s="4">
        <f t="shared" si="384"/>
        <v>1055.87201059058</v>
      </c>
      <c r="S428" s="4">
        <f t="shared" si="385"/>
        <v>1.56984924216772</v>
      </c>
      <c r="T428" s="4" t="str">
        <f t="shared" si="374"/>
        <v>1+12,4029766675452i</v>
      </c>
      <c r="U428" s="4">
        <f t="shared" si="386"/>
        <v>12.4432242692829</v>
      </c>
      <c r="V428" s="4">
        <f t="shared" si="387"/>
        <v>1.4903445450317</v>
      </c>
      <c r="W428" t="str">
        <f t="shared" si="375"/>
        <v>1-5,88860145071945i</v>
      </c>
      <c r="X428" s="4">
        <f t="shared" si="388"/>
        <v>5.97290775463804</v>
      </c>
      <c r="Y428" s="4">
        <f t="shared" si="389"/>
        <v>-1.40258149833008</v>
      </c>
      <c r="Z428" t="str">
        <f t="shared" si="376"/>
        <v>0,870620963880724+10,0941831506541i</v>
      </c>
      <c r="AA428" s="4">
        <f t="shared" si="390"/>
        <v>10.1316590123088</v>
      </c>
      <c r="AB428" s="4">
        <f t="shared" si="391"/>
        <v>1.48475947967916</v>
      </c>
      <c r="AC428" s="67" t="str">
        <f t="shared" si="392"/>
        <v>-0,65719477151274-0,116026223693763i</v>
      </c>
      <c r="AD428" s="68">
        <f t="shared" si="393"/>
        <v>-3.51281914690044</v>
      </c>
      <c r="AE428" s="31">
        <f t="shared" si="394"/>
        <v>-169.987735652465</v>
      </c>
      <c r="AF428" s="32" t="str">
        <f t="shared" si="395"/>
        <v>236,914774604583</v>
      </c>
      <c r="AG428" s="32" t="str">
        <f t="shared" si="377"/>
        <v>1+260,744395851802i</v>
      </c>
      <c r="AH428" s="32">
        <f t="shared" si="396"/>
        <v>260.746313431506</v>
      </c>
      <c r="AI428" s="32">
        <f t="shared" si="397"/>
        <v>1.56696117208745</v>
      </c>
      <c r="AJ428" s="32" t="str">
        <f t="shared" si="378"/>
        <v>1+12,4029766675452i</v>
      </c>
      <c r="AK428" s="32">
        <f t="shared" si="398"/>
        <v>12.4432242692829</v>
      </c>
      <c r="AL428" s="32">
        <f t="shared" si="399"/>
        <v>1.4903445450317</v>
      </c>
      <c r="AM428" s="32" t="str">
        <f t="shared" si="379"/>
        <v>1-0,589581185203548i</v>
      </c>
      <c r="AN428" s="32">
        <f t="shared" si="400"/>
        <v>1.1608643219369</v>
      </c>
      <c r="AO428" s="32">
        <f t="shared" si="401"/>
        <v>-0.532723382810134</v>
      </c>
      <c r="AP428" s="30" t="str">
        <f t="shared" si="402"/>
        <v>10,7625688870983-7,51159426608484i</v>
      </c>
      <c r="AQ428" s="32">
        <f t="shared" si="403"/>
        <v>22.3617672168747</v>
      </c>
      <c r="AR428" s="31">
        <f t="shared" si="404"/>
        <v>-34.9126108537751</v>
      </c>
      <c r="AS428" t="str">
        <f t="shared" si="380"/>
        <v>-0,000272527472527473</v>
      </c>
      <c r="AT428" t="str">
        <f t="shared" si="381"/>
        <v>0,177739085280447i</v>
      </c>
      <c r="AU428">
        <f t="shared" si="405"/>
        <v>0.177739085280447</v>
      </c>
      <c r="AV428">
        <f t="shared" si="406"/>
        <v>1.5707963267949</v>
      </c>
      <c r="AW428" t="str">
        <f t="shared" si="382"/>
        <v>1+9,09991516057814i</v>
      </c>
      <c r="AX428">
        <f t="shared" si="407"/>
        <v>9.15469584037175</v>
      </c>
      <c r="AY428">
        <f t="shared" si="408"/>
        <v>1.4613443653614</v>
      </c>
      <c r="AZ428" t="str">
        <f t="shared" si="383"/>
        <v>1+435,053390762107i</v>
      </c>
      <c r="BA428">
        <f t="shared" si="409"/>
        <v>435.054540044816</v>
      </c>
      <c r="BB428">
        <f t="shared" si="410"/>
        <v>1.56849776238855</v>
      </c>
      <c r="BC428" s="30" t="str">
        <f t="shared" si="411"/>
        <v>-0,00779294613879784+0,0724484494626797i</v>
      </c>
      <c r="BD428" s="32">
        <f t="shared" si="412"/>
        <v>-22.7494573366104</v>
      </c>
      <c r="BE428" s="31">
        <f t="shared" si="413"/>
        <v>96.1394374101451</v>
      </c>
      <c r="BF428" s="30" t="str">
        <f t="shared" si="414"/>
        <v>0,0135274034607215-0,0467085560791445i</v>
      </c>
      <c r="BG428" s="68">
        <f t="shared" si="415"/>
        <v>-26.2622764835109</v>
      </c>
      <c r="BH428" s="31">
        <f t="shared" si="416"/>
        <v>-73.8482982423195</v>
      </c>
      <c r="BI428" s="30" t="str">
        <f t="shared" si="369"/>
        <v>0,460331237918344+0,838268877637652i</v>
      </c>
      <c r="BJ428" s="68">
        <f t="shared" si="417"/>
        <v>-0.387690119735795</v>
      </c>
      <c r="BK428" s="31">
        <f t="shared" si="370"/>
        <v>61.22682655637</v>
      </c>
      <c r="BL428" s="32">
        <f t="shared" si="418"/>
        <v>-26.2622764835109</v>
      </c>
      <c r="BM428" s="31">
        <f t="shared" si="419"/>
        <v>-73.8482982423195</v>
      </c>
      <c r="BO428">
        <f t="shared" si="420"/>
        <v>0</v>
      </c>
      <c r="BP428">
        <f t="shared" si="421"/>
        <v>0</v>
      </c>
    </row>
    <row r="429" spans="14:68">
      <c r="N429" s="7">
        <v>11</v>
      </c>
      <c r="O429" s="18">
        <f t="shared" si="422"/>
        <v>128824.955169314</v>
      </c>
      <c r="P429" s="86" t="str">
        <f t="shared" si="372"/>
        <v>96,0576923076923</v>
      </c>
      <c r="Q429" s="4" t="str">
        <f t="shared" si="373"/>
        <v>1+1080,46594461017i</v>
      </c>
      <c r="R429" s="4">
        <f t="shared" si="384"/>
        <v>1080.46640737338</v>
      </c>
      <c r="S429" s="4">
        <f t="shared" si="385"/>
        <v>1.56987080043337</v>
      </c>
      <c r="T429" s="4" t="str">
        <f t="shared" si="374"/>
        <v>1+12,6918791073207i</v>
      </c>
      <c r="U429" s="4">
        <f t="shared" si="386"/>
        <v>12.7312134250763</v>
      </c>
      <c r="V429" s="4">
        <f t="shared" si="387"/>
        <v>1.4921682253994</v>
      </c>
      <c r="W429" t="str">
        <f t="shared" si="375"/>
        <v>1-6,02576459885551i</v>
      </c>
      <c r="X429" s="4">
        <f t="shared" si="388"/>
        <v>6.1081780426589</v>
      </c>
      <c r="Y429" s="4">
        <f t="shared" si="389"/>
        <v>-1.40634109254287</v>
      </c>
      <c r="Z429" t="str">
        <f t="shared" si="376"/>
        <v>0,864523517760197+10,3293068808628i</v>
      </c>
      <c r="AA429" s="4">
        <f t="shared" si="390"/>
        <v>10.3654224010312</v>
      </c>
      <c r="AB429" s="4">
        <f t="shared" si="391"/>
        <v>1.48729476244865</v>
      </c>
      <c r="AC429" s="67" t="str">
        <f t="shared" si="392"/>
        <v>-0,65734047953336-0,113009020868159i</v>
      </c>
      <c r="AD429" s="68">
        <f t="shared" si="393"/>
        <v>-3.51769276911123</v>
      </c>
      <c r="AE429" s="31">
        <f t="shared" si="394"/>
        <v>-170.245151545489</v>
      </c>
      <c r="AF429" s="32" t="str">
        <f t="shared" si="395"/>
        <v>236,914774604583</v>
      </c>
      <c r="AG429" s="32" t="str">
        <f t="shared" si="377"/>
        <v>1+266,817913051629i</v>
      </c>
      <c r="AH429" s="32">
        <f t="shared" si="396"/>
        <v>266.8197869822</v>
      </c>
      <c r="AI429" s="32">
        <f t="shared" si="397"/>
        <v>1.56704847003965</v>
      </c>
      <c r="AJ429" s="32" t="str">
        <f t="shared" si="378"/>
        <v>1+12,6918791073207i</v>
      </c>
      <c r="AK429" s="32">
        <f t="shared" si="398"/>
        <v>12.7312134250763</v>
      </c>
      <c r="AL429" s="32">
        <f t="shared" si="399"/>
        <v>1.4921682253994</v>
      </c>
      <c r="AM429" s="32" t="str">
        <f t="shared" si="379"/>
        <v>1-0,603314295199374i</v>
      </c>
      <c r="AN429" s="32">
        <f t="shared" si="400"/>
        <v>1.16789902765261</v>
      </c>
      <c r="AO429" s="32">
        <f t="shared" si="401"/>
        <v>-0.542852919106214</v>
      </c>
      <c r="AP429" s="30" t="str">
        <f t="shared" si="402"/>
        <v>10,7624191777838-7,64661664648355i</v>
      </c>
      <c r="AQ429" s="32">
        <f t="shared" si="403"/>
        <v>22.4129841540401</v>
      </c>
      <c r="AR429" s="31">
        <f t="shared" si="404"/>
        <v>-35.3935031479362</v>
      </c>
      <c r="AS429" t="str">
        <f t="shared" si="380"/>
        <v>-0,000272527472527473</v>
      </c>
      <c r="AT429" t="str">
        <f t="shared" si="381"/>
        <v>0,181879160421873i</v>
      </c>
      <c r="AU429">
        <f t="shared" si="405"/>
        <v>0.181879160421873</v>
      </c>
      <c r="AV429">
        <f t="shared" si="406"/>
        <v>1.5707963267949</v>
      </c>
      <c r="AW429" t="str">
        <f t="shared" si="382"/>
        <v>1+9,31187941416902i</v>
      </c>
      <c r="AX429">
        <f t="shared" si="407"/>
        <v>9.36542034422507</v>
      </c>
      <c r="AY429">
        <f t="shared" si="408"/>
        <v>1.4638166124518</v>
      </c>
      <c r="AZ429" t="str">
        <f t="shared" si="383"/>
        <v>1+445,187086034846i</v>
      </c>
      <c r="BA429">
        <f t="shared" si="409"/>
        <v>445.188209156754</v>
      </c>
      <c r="BB429">
        <f t="shared" si="410"/>
        <v>1.5685500839242</v>
      </c>
      <c r="BC429" s="30" t="str">
        <f t="shared" si="411"/>
        <v>-0,00744620459965043+0,0708365578876897i</v>
      </c>
      <c r="BD429" s="32">
        <f t="shared" si="412"/>
        <v>-22.9471254636919</v>
      </c>
      <c r="BE429" s="31">
        <f t="shared" si="413"/>
        <v>96.0007858891225</v>
      </c>
      <c r="BF429" s="30" t="str">
        <f t="shared" si="414"/>
        <v>0,0128998617507962-0,0457222486393961i</v>
      </c>
      <c r="BG429" s="68">
        <f t="shared" si="415"/>
        <v>-26.4648182328031</v>
      </c>
      <c r="BH429" s="31">
        <f t="shared" si="416"/>
        <v>-74.2443656563669</v>
      </c>
      <c r="BI429" s="30" t="str">
        <f t="shared" si="369"/>
        <v>0,461520827538624+0,819311001143473i</v>
      </c>
      <c r="BJ429" s="68">
        <f t="shared" si="417"/>
        <v>-0.534141309651768</v>
      </c>
      <c r="BK429" s="31">
        <f t="shared" si="370"/>
        <v>60.6072827411863</v>
      </c>
      <c r="BL429" s="32">
        <f t="shared" si="418"/>
        <v>-26.4648182328031</v>
      </c>
      <c r="BM429" s="31">
        <f t="shared" si="419"/>
        <v>-74.2443656563669</v>
      </c>
      <c r="BO429">
        <f t="shared" si="420"/>
        <v>0</v>
      </c>
      <c r="BP429">
        <f t="shared" si="421"/>
        <v>0</v>
      </c>
    </row>
    <row r="430" spans="14:68">
      <c r="N430" s="7">
        <v>12</v>
      </c>
      <c r="O430" s="18">
        <f t="shared" si="422"/>
        <v>131825.673855641</v>
      </c>
      <c r="P430" s="86" t="str">
        <f t="shared" si="372"/>
        <v>96,0576923076923</v>
      </c>
      <c r="Q430" s="4" t="str">
        <f t="shared" si="373"/>
        <v>1+1105,63322951759i</v>
      </c>
      <c r="R430" s="4">
        <f t="shared" si="384"/>
        <v>1105.63368174703</v>
      </c>
      <c r="S430" s="4">
        <f t="shared" si="385"/>
        <v>1.56989186797381</v>
      </c>
      <c r="T430" s="4" t="str">
        <f t="shared" si="374"/>
        <v>1+12,9875109493958i</v>
      </c>
      <c r="U430" s="4">
        <f t="shared" si="386"/>
        <v>13.0259525816992</v>
      </c>
      <c r="V430" s="4">
        <f t="shared" si="387"/>
        <v>1.49395090029224</v>
      </c>
      <c r="W430" t="str">
        <f t="shared" si="375"/>
        <v>1-6,16612268714228i</v>
      </c>
      <c r="X430" s="4">
        <f t="shared" si="388"/>
        <v>6.24668464010236</v>
      </c>
      <c r="Y430" s="4">
        <f t="shared" si="389"/>
        <v>-1.41001964670554</v>
      </c>
      <c r="Z430" t="str">
        <f t="shared" si="376"/>
        <v>0,858138707857192+10,5699073463042i</v>
      </c>
      <c r="AA430" s="4">
        <f t="shared" si="390"/>
        <v>10.6046849718121</v>
      </c>
      <c r="AB430" s="4">
        <f t="shared" si="391"/>
        <v>1.4897870352205</v>
      </c>
      <c r="AC430" s="67" t="str">
        <f t="shared" si="392"/>
        <v>-0,657479277771296-0,110050471837885i</v>
      </c>
      <c r="AD430" s="68">
        <f t="shared" si="393"/>
        <v>-3.52235617825773</v>
      </c>
      <c r="AE430" s="31">
        <f t="shared" si="394"/>
        <v>-170.497781218491</v>
      </c>
      <c r="AF430" s="32" t="str">
        <f t="shared" si="395"/>
        <v>236,914774604583</v>
      </c>
      <c r="AG430" s="32" t="str">
        <f t="shared" si="377"/>
        <v>1+273,032900640706i</v>
      </c>
      <c r="AH430" s="32">
        <f t="shared" si="396"/>
        <v>273.034731915699</v>
      </c>
      <c r="AI430" s="32">
        <f t="shared" si="397"/>
        <v>1.56713378090305</v>
      </c>
      <c r="AJ430" s="32" t="str">
        <f t="shared" si="378"/>
        <v>1+12,9875109493958i</v>
      </c>
      <c r="AK430" s="32">
        <f t="shared" si="398"/>
        <v>13.0259525816992</v>
      </c>
      <c r="AL430" s="32">
        <f t="shared" si="399"/>
        <v>1.49395090029224</v>
      </c>
      <c r="AM430" s="32" t="str">
        <f t="shared" si="379"/>
        <v>1-0,61736729042032i</v>
      </c>
      <c r="AN430" s="32">
        <f t="shared" si="400"/>
        <v>1.17522013737041</v>
      </c>
      <c r="AO430" s="32">
        <f t="shared" si="401"/>
        <v>-0.553091787609371</v>
      </c>
      <c r="AP430" s="30" t="str">
        <f t="shared" si="402"/>
        <v>10,7622762063134-7,78569331372394i</v>
      </c>
      <c r="AQ430" s="32">
        <f t="shared" si="403"/>
        <v>22.4660593358266</v>
      </c>
      <c r="AR430" s="31">
        <f t="shared" si="404"/>
        <v>-35.8828953049723</v>
      </c>
      <c r="AS430" t="str">
        <f t="shared" si="380"/>
        <v>-0,000272527472527473</v>
      </c>
      <c r="AT430" t="str">
        <f t="shared" si="381"/>
        <v>0,186115670301609i</v>
      </c>
      <c r="AU430">
        <f t="shared" si="405"/>
        <v>0.186115670301609</v>
      </c>
      <c r="AV430">
        <f t="shared" si="406"/>
        <v>1.5707963267949</v>
      </c>
      <c r="AW430" t="str">
        <f t="shared" si="382"/>
        <v>1+9,52878094948255i</v>
      </c>
      <c r="AX430">
        <f t="shared" si="407"/>
        <v>9.58110987220278</v>
      </c>
      <c r="AY430">
        <f t="shared" si="408"/>
        <v>1.46623385346425</v>
      </c>
      <c r="AZ430" t="str">
        <f t="shared" si="383"/>
        <v>1+455,556825393346i</v>
      </c>
      <c r="BA430">
        <f t="shared" si="409"/>
        <v>455.55792294994</v>
      </c>
      <c r="BB430">
        <f t="shared" si="410"/>
        <v>1.56860121448819</v>
      </c>
      <c r="BC430" s="30" t="str">
        <f t="shared" si="411"/>
        <v>-0,00711472098113698+0,0692589085930577i</v>
      </c>
      <c r="BD430" s="32">
        <f t="shared" si="412"/>
        <v>-23.144897371897</v>
      </c>
      <c r="BE430" s="31">
        <f t="shared" si="413"/>
        <v>95.8652177465635</v>
      </c>
      <c r="BF430" s="30" t="str">
        <f t="shared" si="414"/>
        <v>0,0122997571818652-0,0447533188000228i</v>
      </c>
      <c r="BG430" s="68">
        <f t="shared" si="415"/>
        <v>-26.6672535501547</v>
      </c>
      <c r="BH430" s="31">
        <f t="shared" si="416"/>
        <v>-74.6325634719275</v>
      </c>
      <c r="BI430" s="30" t="str">
        <f t="shared" si="369"/>
        <v>0,462658029218938+0,800776539598149i</v>
      </c>
      <c r="BJ430" s="68">
        <f t="shared" si="417"/>
        <v>-0.678838036070409</v>
      </c>
      <c r="BK430" s="31">
        <f t="shared" si="370"/>
        <v>59.9823224415911</v>
      </c>
      <c r="BL430" s="32">
        <f t="shared" si="418"/>
        <v>-26.6672535501547</v>
      </c>
      <c r="BM430" s="31">
        <f t="shared" si="419"/>
        <v>-74.6325634719275</v>
      </c>
      <c r="BO430">
        <f t="shared" si="420"/>
        <v>0</v>
      </c>
      <c r="BP430">
        <f t="shared" si="421"/>
        <v>0</v>
      </c>
    </row>
    <row r="431" spans="14:68">
      <c r="N431" s="7">
        <v>13</v>
      </c>
      <c r="O431" s="18">
        <f t="shared" si="422"/>
        <v>134896.288259165</v>
      </c>
      <c r="P431" s="86" t="str">
        <f t="shared" si="372"/>
        <v>96,0576923076923</v>
      </c>
      <c r="Q431" s="4" t="str">
        <f t="shared" si="373"/>
        <v>1+1131,38673579808i</v>
      </c>
      <c r="R431" s="4">
        <f t="shared" si="384"/>
        <v>1131.38717773353</v>
      </c>
      <c r="S431" s="4">
        <f t="shared" si="385"/>
        <v>1.56991245595927</v>
      </c>
      <c r="T431" s="4" t="str">
        <f t="shared" si="374"/>
        <v>1+13,2900289416862i</v>
      </c>
      <c r="U431" s="4">
        <f t="shared" si="386"/>
        <v>13.3275980308102</v>
      </c>
      <c r="V431" s="4">
        <f t="shared" si="387"/>
        <v>1.49569346956101</v>
      </c>
      <c r="W431" t="str">
        <f t="shared" si="375"/>
        <v>1-6,30975013529603i</v>
      </c>
      <c r="X431" s="4">
        <f t="shared" si="388"/>
        <v>6.38850113640659</v>
      </c>
      <c r="Y431" s="4">
        <f t="shared" si="389"/>
        <v>-1.41361871281585</v>
      </c>
      <c r="Z431" t="str">
        <f t="shared" si="376"/>
        <v>0,851452991133879+10,8161121165299i</v>
      </c>
      <c r="AA431" s="4">
        <f t="shared" si="390"/>
        <v>10.8495738862619</v>
      </c>
      <c r="AB431" s="4">
        <f t="shared" si="391"/>
        <v>1.49223753553793</v>
      </c>
      <c r="AC431" s="67" t="str">
        <f t="shared" si="392"/>
        <v>-0,657611444516939-0,107149091763945i</v>
      </c>
      <c r="AD431" s="68">
        <f t="shared" si="393"/>
        <v>-3.52681846497073</v>
      </c>
      <c r="AE431" s="31">
        <f t="shared" si="394"/>
        <v>-170.74573358275</v>
      </c>
      <c r="AF431" s="32" t="str">
        <f t="shared" si="395"/>
        <v>236,914774604583</v>
      </c>
      <c r="AG431" s="32" t="str">
        <f t="shared" si="377"/>
        <v>1+279,392653887721i</v>
      </c>
      <c r="AH431" s="32">
        <f t="shared" si="396"/>
        <v>279.394443478076</v>
      </c>
      <c r="AI431" s="32">
        <f t="shared" si="397"/>
        <v>1.56721714990562</v>
      </c>
      <c r="AJ431" s="32" t="str">
        <f t="shared" si="378"/>
        <v>1+13,2900289416862i</v>
      </c>
      <c r="AK431" s="32">
        <f t="shared" si="398"/>
        <v>13.3275980308102</v>
      </c>
      <c r="AL431" s="32">
        <f t="shared" si="399"/>
        <v>1.49569346956101</v>
      </c>
      <c r="AM431" s="32" t="str">
        <f t="shared" si="379"/>
        <v>1-0,631747621950468i</v>
      </c>
      <c r="AN431" s="32">
        <f t="shared" si="400"/>
        <v>1.1828377140758</v>
      </c>
      <c r="AO431" s="32">
        <f t="shared" si="401"/>
        <v>-0.563436829585116</v>
      </c>
      <c r="AP431" s="30" t="str">
        <f t="shared" si="402"/>
        <v>10,7621396694504-7,92889801146757i</v>
      </c>
      <c r="AQ431" s="32">
        <f t="shared" si="403"/>
        <v>22.5210285896909</v>
      </c>
      <c r="AR431" s="31">
        <f t="shared" si="404"/>
        <v>-36.3805573764481</v>
      </c>
      <c r="AS431" t="str">
        <f t="shared" si="380"/>
        <v>-0,000272527472527473</v>
      </c>
      <c r="AT431" t="str">
        <f t="shared" si="381"/>
        <v>0,190450861173271i</v>
      </c>
      <c r="AU431">
        <f t="shared" si="405"/>
        <v>0.190450861173271</v>
      </c>
      <c r="AV431">
        <f t="shared" si="406"/>
        <v>1.5707963267949</v>
      </c>
      <c r="AW431" t="str">
        <f t="shared" si="382"/>
        <v>1+9,7507347705838i</v>
      </c>
      <c r="AX431">
        <f t="shared" si="407"/>
        <v>9.80187882838142</v>
      </c>
      <c r="AY431">
        <f t="shared" si="408"/>
        <v>1.46859725699777</v>
      </c>
      <c r="AZ431" t="str">
        <f t="shared" si="383"/>
        <v>1+466,168107010676i</v>
      </c>
      <c r="BA431">
        <f t="shared" si="409"/>
        <v>466.16917958389</v>
      </c>
      <c r="BB431">
        <f t="shared" si="410"/>
        <v>1.56865118118953</v>
      </c>
      <c r="BC431" s="30" t="str">
        <f t="shared" si="411"/>
        <v>-0,0067978386962015+0,0677148816579785i</v>
      </c>
      <c r="BD431" s="32">
        <f t="shared" si="412"/>
        <v>-23.3427684921952</v>
      </c>
      <c r="BE431" s="31">
        <f t="shared" si="413"/>
        <v>95.7326675799099</v>
      </c>
      <c r="BF431" s="30" t="str">
        <f t="shared" si="414"/>
        <v>0,0117259245931576-0,043801698900141i</v>
      </c>
      <c r="BG431" s="68">
        <f t="shared" si="415"/>
        <v>-26.869586957166</v>
      </c>
      <c r="BH431" s="31">
        <f t="shared" si="416"/>
        <v>-75.0130660028397</v>
      </c>
      <c r="BI431" s="30" t="str">
        <f t="shared" si="369"/>
        <v>0,463745101025792+0,782656383824059i</v>
      </c>
      <c r="BJ431" s="68">
        <f t="shared" si="417"/>
        <v>-0.821739902504406</v>
      </c>
      <c r="BK431" s="31">
        <f t="shared" si="370"/>
        <v>59.3521102034618</v>
      </c>
      <c r="BL431" s="32">
        <f t="shared" si="418"/>
        <v>-26.869586957166</v>
      </c>
      <c r="BM431" s="31">
        <f t="shared" si="419"/>
        <v>-75.0130660028397</v>
      </c>
      <c r="BO431">
        <f t="shared" si="420"/>
        <v>0</v>
      </c>
      <c r="BP431">
        <f t="shared" si="421"/>
        <v>0</v>
      </c>
    </row>
    <row r="432" spans="14:68">
      <c r="N432" s="7">
        <v>14</v>
      </c>
      <c r="O432" s="18">
        <f t="shared" si="422"/>
        <v>138038.426460289</v>
      </c>
      <c r="P432" s="86" t="str">
        <f t="shared" si="372"/>
        <v>96,0576923076923</v>
      </c>
      <c r="Q432" s="4" t="str">
        <f t="shared" si="373"/>
        <v>1+1157,74011830158i</v>
      </c>
      <c r="R432" s="4">
        <f t="shared" si="384"/>
        <v>1157.74055017735</v>
      </c>
      <c r="S432" s="4">
        <f t="shared" si="385"/>
        <v>1.56993257530568</v>
      </c>
      <c r="T432" s="4" t="str">
        <f t="shared" si="374"/>
        <v>1+13,599593483236i</v>
      </c>
      <c r="U432" s="4">
        <f t="shared" si="386"/>
        <v>13.6363097247487</v>
      </c>
      <c r="V432" s="4">
        <f t="shared" si="387"/>
        <v>1.49739681478417</v>
      </c>
      <c r="W432" t="str">
        <f t="shared" si="375"/>
        <v>1-6,45672309649101i</v>
      </c>
      <c r="X432" s="4">
        <f t="shared" si="388"/>
        <v>6.53370286627426</v>
      </c>
      <c r="Y432" s="4">
        <f t="shared" si="389"/>
        <v>-1.41713982599861</v>
      </c>
      <c r="Z432" t="str">
        <f t="shared" si="376"/>
        <v>0,844452186288712+11,0680517325681i</v>
      </c>
      <c r="AA432" s="4">
        <f t="shared" si="390"/>
        <v>11.10021930638</v>
      </c>
      <c r="AB432" s="4">
        <f t="shared" si="391"/>
        <v>1.49464748426757</v>
      </c>
      <c r="AC432" s="67" t="str">
        <f t="shared" si="392"/>
        <v>-0,657737245390795-0,104303420747191i</v>
      </c>
      <c r="AD432" s="68">
        <f t="shared" si="393"/>
        <v>-3.5310883613574</v>
      </c>
      <c r="AE432" s="31">
        <f t="shared" si="394"/>
        <v>-170.989116659656</v>
      </c>
      <c r="AF432" s="32" t="str">
        <f t="shared" si="395"/>
        <v>236,914774604583</v>
      </c>
      <c r="AG432" s="32" t="str">
        <f t="shared" si="377"/>
        <v>1+285,900544818029i</v>
      </c>
      <c r="AH432" s="32">
        <f t="shared" si="396"/>
        <v>285.902293672586</v>
      </c>
      <c r="AI432" s="32">
        <f t="shared" si="397"/>
        <v>1.5672986212461</v>
      </c>
      <c r="AJ432" s="32" t="str">
        <f t="shared" si="378"/>
        <v>1+13,599593483236i</v>
      </c>
      <c r="AK432" s="32">
        <f t="shared" si="398"/>
        <v>13.6363097247487</v>
      </c>
      <c r="AL432" s="32">
        <f t="shared" si="399"/>
        <v>1.49739681478417</v>
      </c>
      <c r="AM432" s="32" t="str">
        <f t="shared" si="379"/>
        <v>1-0,646462914431949i</v>
      </c>
      <c r="AN432" s="32">
        <f t="shared" si="400"/>
        <v>1.19076206680254</v>
      </c>
      <c r="AO432" s="32">
        <f t="shared" si="401"/>
        <v>-0.573884672761837</v>
      </c>
      <c r="AP432" s="30" t="str">
        <f t="shared" si="402"/>
        <v>10,7620092776046-8,07630667188774i</v>
      </c>
      <c r="AQ432" s="32">
        <f t="shared" si="403"/>
        <v>22.5779270769603</v>
      </c>
      <c r="AR432" s="31">
        <f t="shared" si="404"/>
        <v>-36.886248167108</v>
      </c>
      <c r="AS432" t="str">
        <f t="shared" si="380"/>
        <v>-0,000272527472527473</v>
      </c>
      <c r="AT432" t="str">
        <f t="shared" si="381"/>
        <v>0,194887031612444i</v>
      </c>
      <c r="AU432">
        <f t="shared" si="405"/>
        <v>0.194887031612444</v>
      </c>
      <c r="AV432">
        <f t="shared" si="406"/>
        <v>1.5707963267949</v>
      </c>
      <c r="AW432" t="str">
        <f t="shared" si="382"/>
        <v>1+9,97785856032675i</v>
      </c>
      <c r="AX432">
        <f t="shared" si="407"/>
        <v>10.0278443072221</v>
      </c>
      <c r="AY432">
        <f t="shared" si="408"/>
        <v>1.47090797049281</v>
      </c>
      <c r="AZ432" t="str">
        <f t="shared" si="383"/>
        <v>1+477,026557128812i</v>
      </c>
      <c r="BA432">
        <f t="shared" si="409"/>
        <v>477.027605287333</v>
      </c>
      <c r="BB432">
        <f t="shared" si="410"/>
        <v>1.56870001052024</v>
      </c>
      <c r="BC432" s="30" t="str">
        <f t="shared" si="411"/>
        <v>-0,00649492812003799+0,0662038610440024i</v>
      </c>
      <c r="BD432" s="32">
        <f t="shared" si="412"/>
        <v>-23.5407344523714</v>
      </c>
      <c r="BE432" s="31">
        <f t="shared" si="413"/>
        <v>95.6030711635464</v>
      </c>
      <c r="BF432" s="30" t="str">
        <f t="shared" si="414"/>
        <v>0,0111772453042462-0,04286730197689i</v>
      </c>
      <c r="BG432" s="68">
        <f t="shared" si="415"/>
        <v>-27.0718228137288</v>
      </c>
      <c r="BH432" s="31">
        <f t="shared" si="416"/>
        <v>-75.3860454961098</v>
      </c>
      <c r="BI432" s="30" t="str">
        <f t="shared" si="369"/>
        <v>0,464784207969182+0,764941598078094i</v>
      </c>
      <c r="BJ432" s="68">
        <f t="shared" si="417"/>
        <v>-0.96280737541111</v>
      </c>
      <c r="BK432" s="31">
        <f t="shared" si="370"/>
        <v>58.7168229964384</v>
      </c>
      <c r="BL432" s="32">
        <f t="shared" si="418"/>
        <v>-27.0718228137288</v>
      </c>
      <c r="BM432" s="31">
        <f t="shared" si="419"/>
        <v>-75.3860454961098</v>
      </c>
      <c r="BO432">
        <f t="shared" si="420"/>
        <v>0</v>
      </c>
      <c r="BP432">
        <f t="shared" si="421"/>
        <v>0</v>
      </c>
    </row>
    <row r="433" spans="14:68">
      <c r="N433" s="7">
        <v>15</v>
      </c>
      <c r="O433" s="18">
        <f t="shared" si="422"/>
        <v>141253.754462276</v>
      </c>
      <c r="P433" s="86" t="str">
        <f t="shared" si="372"/>
        <v>96,0576923076923</v>
      </c>
      <c r="Q433" s="4" t="str">
        <f t="shared" si="373"/>
        <v>1+1184,7073499403i</v>
      </c>
      <c r="R433" s="4">
        <f t="shared" si="384"/>
        <v>1184.70777198538</v>
      </c>
      <c r="S433" s="4">
        <f t="shared" si="385"/>
        <v>1.56995223668053</v>
      </c>
      <c r="T433" s="4" t="str">
        <f t="shared" si="374"/>
        <v>1+13,9163687092624i</v>
      </c>
      <c r="U433" s="4">
        <f t="shared" si="386"/>
        <v>13.9522513614161</v>
      </c>
      <c r="V433" s="4">
        <f t="shared" si="387"/>
        <v>1.49906179953929</v>
      </c>
      <c r="W433" t="str">
        <f t="shared" si="375"/>
        <v>1-6,60711949773655i</v>
      </c>
      <c r="X433" s="4">
        <f t="shared" si="388"/>
        <v>6.68236695021835</v>
      </c>
      <c r="Y433" s="4">
        <f t="shared" si="389"/>
        <v>-1.42058450377088</v>
      </c>
      <c r="Z433" t="str">
        <f t="shared" si="376"/>
        <v>0,837121443676007+11,3258597761378i</v>
      </c>
      <c r="AA433" s="4">
        <f t="shared" si="390"/>
        <v>11.3567544650837</v>
      </c>
      <c r="AB433" s="4">
        <f t="shared" si="391"/>
        <v>1.49701808588963</v>
      </c>
      <c r="AC433" s="67" t="str">
        <f t="shared" si="392"/>
        <v>-0,657856933787313-0,101512023400198i</v>
      </c>
      <c r="AD433" s="68">
        <f t="shared" si="393"/>
        <v>-3.53517425383189</v>
      </c>
      <c r="AE433" s="31">
        <f t="shared" si="394"/>
        <v>-171.228037540017</v>
      </c>
      <c r="AF433" s="32" t="str">
        <f t="shared" si="395"/>
        <v>236,914774604583</v>
      </c>
      <c r="AG433" s="32" t="str">
        <f t="shared" si="377"/>
        <v>1+292,560024001539i</v>
      </c>
      <c r="AH433" s="32">
        <f t="shared" si="396"/>
        <v>292.561733047542</v>
      </c>
      <c r="AI433" s="32">
        <f t="shared" si="397"/>
        <v>1.56737823811731</v>
      </c>
      <c r="AJ433" s="32" t="str">
        <f t="shared" si="378"/>
        <v>1+13,9163687092624i</v>
      </c>
      <c r="AK433" s="32">
        <f t="shared" si="398"/>
        <v>13.9522513614161</v>
      </c>
      <c r="AL433" s="32">
        <f t="shared" si="399"/>
        <v>1.49906179953929</v>
      </c>
      <c r="AM433" s="32" t="str">
        <f t="shared" si="379"/>
        <v>1-0,661520970107606i</v>
      </c>
      <c r="AN433" s="32">
        <f t="shared" si="400"/>
        <v>1.19900375057466</v>
      </c>
      <c r="AO433" s="32">
        <f t="shared" si="401"/>
        <v>-0.584431732786371</v>
      </c>
      <c r="AP433" s="30" t="str">
        <f t="shared" si="402"/>
        <v>10,7618847542182-8,22799745594398i</v>
      </c>
      <c r="AQ433" s="32">
        <f t="shared" si="403"/>
        <v>22.6367891748973</v>
      </c>
      <c r="AR433" s="31">
        <f t="shared" si="404"/>
        <v>-37.3997153040617</v>
      </c>
      <c r="AS433" t="str">
        <f t="shared" si="380"/>
        <v>-0,000272527472527473</v>
      </c>
      <c r="AT433" t="str">
        <f t="shared" si="381"/>
        <v>0,199426533735412i</v>
      </c>
      <c r="AU433">
        <f t="shared" si="405"/>
        <v>0.199426533735412</v>
      </c>
      <c r="AV433">
        <f t="shared" si="406"/>
        <v>1.5707963267949</v>
      </c>
      <c r="AW433" t="str">
        <f t="shared" si="382"/>
        <v>1+10,2102727427509i</v>
      </c>
      <c r="AX433">
        <f t="shared" si="407"/>
        <v>10.2591261558362</v>
      </c>
      <c r="AY433">
        <f t="shared" si="408"/>
        <v>1.47316712036365</v>
      </c>
      <c r="AZ433" t="str">
        <f t="shared" si="383"/>
        <v>1+488,137933041729i</v>
      </c>
      <c r="BA433">
        <f t="shared" si="409"/>
        <v>488.1389573413</v>
      </c>
      <c r="BB433">
        <f t="shared" si="410"/>
        <v>1.56874772836935</v>
      </c>
      <c r="BC433" s="30" t="str">
        <f t="shared" si="411"/>
        <v>-0,00620538559650088+0,0647252351449003i</v>
      </c>
      <c r="BD433" s="32">
        <f t="shared" si="412"/>
        <v>-23.7387910689258</v>
      </c>
      <c r="BE433" s="31">
        <f t="shared" si="413"/>
        <v>95.4763654420205</v>
      </c>
      <c r="BF433" s="30" t="str">
        <f t="shared" si="414"/>
        <v>0,0106526455260945-0,0419500234832077i</v>
      </c>
      <c r="BG433" s="68">
        <f t="shared" si="415"/>
        <v>-27.2739653227577</v>
      </c>
      <c r="BH433" s="31">
        <f t="shared" si="416"/>
        <v>-75.7516720979965</v>
      </c>
      <c r="BI433" s="30" t="str">
        <f t="shared" si="369"/>
        <v>0,465777425462588+0,747623418220251i</v>
      </c>
      <c r="BJ433" s="68">
        <f t="shared" si="417"/>
        <v>-1.10200189402849</v>
      </c>
      <c r="BK433" s="31">
        <f t="shared" si="370"/>
        <v>58.0766501379588</v>
      </c>
      <c r="BL433" s="32">
        <f t="shared" si="418"/>
        <v>-27.2739653227577</v>
      </c>
      <c r="BM433" s="31">
        <f t="shared" si="419"/>
        <v>-75.7516720979965</v>
      </c>
      <c r="BO433">
        <f t="shared" si="420"/>
        <v>0</v>
      </c>
      <c r="BP433">
        <f t="shared" si="421"/>
        <v>0</v>
      </c>
    </row>
    <row r="434" spans="14:68">
      <c r="N434" s="7">
        <v>16</v>
      </c>
      <c r="O434" s="18">
        <f t="shared" si="422"/>
        <v>144543.977074593</v>
      </c>
      <c r="P434" s="86" t="str">
        <f t="shared" si="372"/>
        <v>96,0576923076923</v>
      </c>
      <c r="Q434" s="4" t="str">
        <f t="shared" si="373"/>
        <v>1+1212,30272909741i</v>
      </c>
      <c r="R434" s="4">
        <f t="shared" si="384"/>
        <v>1212.30314153558</v>
      </c>
      <c r="S434" s="4">
        <f t="shared" si="385"/>
        <v>1.56997145050848</v>
      </c>
      <c r="T434" s="4" t="str">
        <f t="shared" si="374"/>
        <v>1+14,2405225781833i</v>
      </c>
      <c r="U434" s="4">
        <f t="shared" si="386"/>
        <v>14.2755904711416</v>
      </c>
      <c r="V434" s="4">
        <f t="shared" si="387"/>
        <v>1.50068926967759</v>
      </c>
      <c r="W434" t="str">
        <f t="shared" si="375"/>
        <v>1-6,76101908119533i</v>
      </c>
      <c r="X434" s="4">
        <f t="shared" si="388"/>
        <v>6.83457233601981</v>
      </c>
      <c r="Y434" s="4">
        <f t="shared" si="389"/>
        <v>-1.42395424538696</v>
      </c>
      <c r="Z434" t="str">
        <f t="shared" si="376"/>
        <v>0,829445213807832+11,5896729404763i</v>
      </c>
      <c r="AA434" s="4">
        <f t="shared" si="390"/>
        <v>11.6193157384554</v>
      </c>
      <c r="AB434" s="4">
        <f t="shared" si="391"/>
        <v>1.49935052880193</v>
      </c>
      <c r="AC434" s="67" t="str">
        <f t="shared" si="392"/>
        <v>-0,657970751302953-0,0987734884111692i</v>
      </c>
      <c r="AD434" s="68">
        <f t="shared" si="393"/>
        <v>-3.53908419567598</v>
      </c>
      <c r="AE434" s="31">
        <f t="shared" si="394"/>
        <v>-171.46260234854</v>
      </c>
      <c r="AF434" s="32" t="str">
        <f t="shared" si="395"/>
        <v>236,914774604583</v>
      </c>
      <c r="AG434" s="32" t="str">
        <f t="shared" si="377"/>
        <v>1+299,374622382263i</v>
      </c>
      <c r="AH434" s="32">
        <f t="shared" si="396"/>
        <v>299.376292525849</v>
      </c>
      <c r="AI434" s="32">
        <f t="shared" si="397"/>
        <v>1.56745604272915</v>
      </c>
      <c r="AJ434" s="32" t="str">
        <f t="shared" si="378"/>
        <v>1+14,2405225781833i</v>
      </c>
      <c r="AK434" s="32">
        <f t="shared" si="398"/>
        <v>14.2755904711416</v>
      </c>
      <c r="AL434" s="32">
        <f t="shared" si="399"/>
        <v>1.50068926967759</v>
      </c>
      <c r="AM434" s="32" t="str">
        <f t="shared" si="379"/>
        <v>1-0,676929772957878i</v>
      </c>
      <c r="AN434" s="32">
        <f t="shared" si="400"/>
        <v>1.20757356608896</v>
      </c>
      <c r="AO434" s="32">
        <f t="shared" si="401"/>
        <v>-0.595074215599568</v>
      </c>
      <c r="AP434" s="30" t="str">
        <f t="shared" si="402"/>
        <v>10,7617658351794-8,38405079483874i</v>
      </c>
      <c r="AQ434" s="32">
        <f t="shared" si="403"/>
        <v>22.6976483578848</v>
      </c>
      <c r="AR434" s="31">
        <f t="shared" si="404"/>
        <v>-37.9206953584754</v>
      </c>
      <c r="AS434" t="str">
        <f t="shared" si="380"/>
        <v>-0,000272527472527473</v>
      </c>
      <c r="AT434" t="str">
        <f t="shared" si="381"/>
        <v>0,204071774446288i</v>
      </c>
      <c r="AU434">
        <f t="shared" si="405"/>
        <v>0.204071774446288</v>
      </c>
      <c r="AV434">
        <f t="shared" si="406"/>
        <v>1.5707963267949</v>
      </c>
      <c r="AW434" t="str">
        <f t="shared" si="382"/>
        <v>1+10,4481005469322i</v>
      </c>
      <c r="AX434">
        <f t="shared" si="407"/>
        <v>10.4958470377004</v>
      </c>
      <c r="AY434">
        <f t="shared" si="408"/>
        <v>1.4753758121496</v>
      </c>
      <c r="AZ434" t="str">
        <f t="shared" si="383"/>
        <v>1+499,508126148012i</v>
      </c>
      <c r="BA434">
        <f t="shared" si="409"/>
        <v>499.509127131726</v>
      </c>
      <c r="BB434">
        <f t="shared" si="410"/>
        <v>1.56879436003661</v>
      </c>
      <c r="BC434" s="30" t="str">
        <f t="shared" si="411"/>
        <v>-0,0059286324708785+0,0632783972860853i</v>
      </c>
      <c r="BD434" s="32">
        <f t="shared" si="412"/>
        <v>-23.9369343392751</v>
      </c>
      <c r="BE434" s="31">
        <f t="shared" si="413"/>
        <v>95.3524885221665</v>
      </c>
      <c r="BF434" s="30" t="str">
        <f t="shared" si="414"/>
        <v>0,0101510948020775-0,0410497428929159i</v>
      </c>
      <c r="BG434" s="68">
        <f t="shared" si="415"/>
        <v>-27.4760185349511</v>
      </c>
      <c r="BH434" s="31">
        <f t="shared" si="416"/>
        <v>-76.1101138263733</v>
      </c>
      <c r="BI434" s="30" t="str">
        <f t="shared" ref="BI434:BI497" si="423">IMPRODUCT(AP434,BC434)</f>
        <v>0,46672674268809+0,730693249798077i</v>
      </c>
      <c r="BJ434" s="68">
        <f t="shared" si="417"/>
        <v>-1.23928598139034</v>
      </c>
      <c r="BK434" s="31">
        <f t="shared" ref="BK434:BK497" si="424">(180/PI())*IMARGUMENT(BI434)</f>
        <v>57.4317931636911</v>
      </c>
      <c r="BL434" s="32">
        <f t="shared" si="418"/>
        <v>-27.4760185349511</v>
      </c>
      <c r="BM434" s="31">
        <f t="shared" si="419"/>
        <v>-76.1101138263733</v>
      </c>
      <c r="BO434">
        <f t="shared" si="420"/>
        <v>0</v>
      </c>
      <c r="BP434">
        <f t="shared" si="421"/>
        <v>0</v>
      </c>
    </row>
    <row r="435" spans="14:68">
      <c r="N435" s="7">
        <v>17</v>
      </c>
      <c r="O435" s="18">
        <f t="shared" si="422"/>
        <v>147910.838816821</v>
      </c>
      <c r="P435" s="86" t="str">
        <f t="shared" si="372"/>
        <v>96,0576923076923</v>
      </c>
      <c r="Q435" s="4" t="str">
        <f t="shared" si="373"/>
        <v>1+1240,54088720821i</v>
      </c>
      <c r="R435" s="4">
        <f t="shared" si="384"/>
        <v>1240.54129025814</v>
      </c>
      <c r="S435" s="4">
        <f t="shared" si="385"/>
        <v>1.5699902269769</v>
      </c>
      <c r="T435" s="4" t="str">
        <f t="shared" si="374"/>
        <v>1+14,5722269606709i</v>
      </c>
      <c r="U435" s="4">
        <f t="shared" si="386"/>
        <v>14.6064985055729</v>
      </c>
      <c r="V435" s="4">
        <f t="shared" si="387"/>
        <v>1.50228005360103</v>
      </c>
      <c r="W435" t="str">
        <f t="shared" si="375"/>
        <v>1-6,91850344646364i</v>
      </c>
      <c r="X435" s="4">
        <f t="shared" si="388"/>
        <v>6.99039984111991</v>
      </c>
      <c r="Y435" s="4">
        <f t="shared" si="389"/>
        <v>-1.4272505312584</v>
      </c>
      <c r="Z435" t="str">
        <f t="shared" si="376"/>
        <v>0,821407214371463+11,8596311028152i</v>
      </c>
      <c r="AA435" s="4">
        <f t="shared" si="390"/>
        <v>11.8880427197535</v>
      </c>
      <c r="AB435" s="4">
        <f t="shared" si="391"/>
        <v>1.50164598563661</v>
      </c>
      <c r="AC435" s="67" t="str">
        <f t="shared" si="392"/>
        <v>-0,658078928148526-0,096086428100891i</v>
      </c>
      <c r="AD435" s="68">
        <f t="shared" si="393"/>
        <v>-3.54282591932051</v>
      </c>
      <c r="AE435" s="31">
        <f t="shared" si="394"/>
        <v>-171.692916213187</v>
      </c>
      <c r="AF435" s="32" t="str">
        <f t="shared" si="395"/>
        <v>236,914774604583</v>
      </c>
      <c r="AG435" s="32" t="str">
        <f t="shared" si="377"/>
        <v>1+306,347953150467i</v>
      </c>
      <c r="AH435" s="32">
        <f t="shared" si="396"/>
        <v>306.349585277148</v>
      </c>
      <c r="AI435" s="32">
        <f t="shared" si="397"/>
        <v>1.56753207633088</v>
      </c>
      <c r="AJ435" s="32" t="str">
        <f t="shared" si="378"/>
        <v>1+14,5722269606709i</v>
      </c>
      <c r="AK435" s="32">
        <f t="shared" si="398"/>
        <v>14.6064985055729</v>
      </c>
      <c r="AL435" s="32">
        <f t="shared" si="399"/>
        <v>1.50228005360103</v>
      </c>
      <c r="AM435" s="32" t="str">
        <f t="shared" si="379"/>
        <v>1-0,692697492933999i</v>
      </c>
      <c r="AN435" s="32">
        <f t="shared" si="400"/>
        <v>1.21648255915038</v>
      </c>
      <c r="AO435" s="32">
        <f t="shared" si="401"/>
        <v>-0.605808120760639</v>
      </c>
      <c r="AP435" s="30" t="str">
        <f t="shared" si="402"/>
        <v>10,7616522682623-8,54454943267578i</v>
      </c>
      <c r="AQ435" s="32">
        <f t="shared" si="403"/>
        <v>22.7605370783688</v>
      </c>
      <c r="AR435" s="31">
        <f t="shared" si="404"/>
        <v>-38.4489140214488</v>
      </c>
      <c r="AS435" t="str">
        <f t="shared" si="380"/>
        <v>-0,000272527472527473</v>
      </c>
      <c r="AT435" t="str">
        <f t="shared" si="381"/>
        <v>0,208825216713185i</v>
      </c>
      <c r="AU435">
        <f t="shared" si="405"/>
        <v>0.208825216713185</v>
      </c>
      <c r="AV435">
        <f t="shared" si="406"/>
        <v>1.5707963267949</v>
      </c>
      <c r="AW435" t="str">
        <f t="shared" si="382"/>
        <v>1+10,6914680723204i</v>
      </c>
      <c r="AX435">
        <f t="shared" si="407"/>
        <v>10.738132497853</v>
      </c>
      <c r="AY435">
        <f t="shared" si="408"/>
        <v>1.47753513068321</v>
      </c>
      <c r="AZ435" t="str">
        <f t="shared" si="383"/>
        <v>1+511,143165074551i</v>
      </c>
      <c r="BA435">
        <f t="shared" si="409"/>
        <v>511.144143273138</v>
      </c>
      <c r="BB435">
        <f t="shared" si="410"/>
        <v>1.56883993024595</v>
      </c>
      <c r="BC435" s="30" t="str">
        <f t="shared" si="411"/>
        <v>-0,00566411414933598+0,0618627461767966i</v>
      </c>
      <c r="BD435" s="32">
        <f t="shared" si="412"/>
        <v>-24.1351604342449</v>
      </c>
      <c r="BE435" s="31">
        <f t="shared" si="413"/>
        <v>95.2313796642326</v>
      </c>
      <c r="BF435" s="30" t="str">
        <f t="shared" si="414"/>
        <v>0,00967160448094636-0,0401663251993852i</v>
      </c>
      <c r="BG435" s="68">
        <f t="shared" si="415"/>
        <v>-27.6779863535654</v>
      </c>
      <c r="BH435" s="31">
        <f t="shared" si="416"/>
        <v>-76.4615365489548</v>
      </c>
      <c r="BI435" s="30" t="str">
        <f t="shared" si="423"/>
        <v>0,467634065865815+0,714142666055778i</v>
      </c>
      <c r="BJ435" s="68">
        <f t="shared" si="417"/>
        <v>-1.37462335587613</v>
      </c>
      <c r="BK435" s="31">
        <f t="shared" si="424"/>
        <v>56.7824656427838</v>
      </c>
      <c r="BL435" s="32">
        <f t="shared" si="418"/>
        <v>-27.6779863535654</v>
      </c>
      <c r="BM435" s="31">
        <f t="shared" si="419"/>
        <v>-76.4615365489548</v>
      </c>
      <c r="BO435">
        <f t="shared" si="420"/>
        <v>0</v>
      </c>
      <c r="BP435">
        <f t="shared" si="421"/>
        <v>0</v>
      </c>
    </row>
    <row r="436" spans="14:68">
      <c r="N436" s="7">
        <v>18</v>
      </c>
      <c r="O436" s="18">
        <f t="shared" si="422"/>
        <v>151356.124843621</v>
      </c>
      <c r="P436" s="86" t="str">
        <f t="shared" si="372"/>
        <v>96,0576923076923</v>
      </c>
      <c r="Q436" s="4" t="str">
        <f t="shared" si="373"/>
        <v>1+1269,43679651791i</v>
      </c>
      <c r="R436" s="4">
        <f t="shared" si="384"/>
        <v>1269.43719039331</v>
      </c>
      <c r="S436" s="4">
        <f t="shared" si="385"/>
        <v>1.57000857604126</v>
      </c>
      <c r="T436" s="4" t="str">
        <f t="shared" si="374"/>
        <v>1+14,9116577307792i</v>
      </c>
      <c r="U436" s="4">
        <f t="shared" si="386"/>
        <v>14.9451509286426</v>
      </c>
      <c r="V436" s="4">
        <f t="shared" si="387"/>
        <v>1.50383496254117</v>
      </c>
      <c r="W436" t="str">
        <f t="shared" si="375"/>
        <v>1-7,07965609383649i</v>
      </c>
      <c r="X436" s="4">
        <f t="shared" si="388"/>
        <v>7.14993219597194</v>
      </c>
      <c r="Y436" s="4">
        <f t="shared" si="389"/>
        <v>-1.43047482244419</v>
      </c>
      <c r="Z436" t="str">
        <f t="shared" si="376"/>
        <v>0,812990395692425+12,1358773985457i</v>
      </c>
      <c r="AA436" s="4">
        <f t="shared" si="390"/>
        <v>12.1630782952352</v>
      </c>
      <c r="AB436" s="4">
        <f t="shared" si="391"/>
        <v>1.50390561358828</v>
      </c>
      <c r="AC436" s="67" t="str">
        <f t="shared" si="392"/>
        <v>-0,65818168354589-0,0934494779736588i</v>
      </c>
      <c r="AD436" s="68">
        <f t="shared" si="393"/>
        <v>-3.54640684834037</v>
      </c>
      <c r="AE436" s="31">
        <f t="shared" si="394"/>
        <v>-171.919083239104</v>
      </c>
      <c r="AF436" s="32" t="str">
        <f t="shared" si="395"/>
        <v>236,914774604583</v>
      </c>
      <c r="AG436" s="32" t="str">
        <f t="shared" si="377"/>
        <v>1+313,483713658425i</v>
      </c>
      <c r="AH436" s="32">
        <f t="shared" si="396"/>
        <v>313.485308633558</v>
      </c>
      <c r="AI436" s="32">
        <f t="shared" si="397"/>
        <v>1.56760637923301</v>
      </c>
      <c r="AJ436" s="32" t="str">
        <f t="shared" si="378"/>
        <v>1+14,9116577307792i</v>
      </c>
      <c r="AK436" s="32">
        <f t="shared" si="398"/>
        <v>14.9451509286426</v>
      </c>
      <c r="AL436" s="32">
        <f t="shared" si="399"/>
        <v>1.50383496254117</v>
      </c>
      <c r="AM436" s="32" t="str">
        <f t="shared" si="379"/>
        <v>1-0,708832490289808i</v>
      </c>
      <c r="AN436" s="32">
        <f t="shared" si="400"/>
        <v>1.22574201987631</v>
      </c>
      <c r="AO436" s="32">
        <f t="shared" si="401"/>
        <v>-0.616629245742597</v>
      </c>
      <c r="AP436" s="30" t="str">
        <f t="shared" si="402"/>
        <v>10,761543812592-8,70957847034437i</v>
      </c>
      <c r="AQ436" s="32">
        <f t="shared" si="403"/>
        <v>22.8254866482334</v>
      </c>
      <c r="AR436" s="31">
        <f t="shared" si="404"/>
        <v>-38.9840863353983</v>
      </c>
      <c r="AS436" t="str">
        <f t="shared" si="380"/>
        <v>-0,000272527472527473</v>
      </c>
      <c r="AT436" t="str">
        <f t="shared" si="381"/>
        <v>0,213689380874112i</v>
      </c>
      <c r="AU436">
        <f t="shared" si="405"/>
        <v>0.213689380874112</v>
      </c>
      <c r="AV436">
        <f t="shared" si="406"/>
        <v>1.5707963267949</v>
      </c>
      <c r="AW436" t="str">
        <f t="shared" si="382"/>
        <v>1+10,9405043555989i</v>
      </c>
      <c r="AX436">
        <f t="shared" si="407"/>
        <v>10.9861110296082</v>
      </c>
      <c r="AY436">
        <f t="shared" si="408"/>
        <v>1.47964614027409</v>
      </c>
      <c r="AZ436" t="str">
        <f t="shared" si="383"/>
        <v>1+523,049218872993i</v>
      </c>
      <c r="BA436">
        <f t="shared" si="409"/>
        <v>523.050174805103</v>
      </c>
      <c r="BB436">
        <f t="shared" si="410"/>
        <v>1.56888446315853</v>
      </c>
      <c r="BC436" s="30" t="str">
        <f t="shared" si="411"/>
        <v>-0,00541129918519999+0,060477686318073i</v>
      </c>
      <c r="BD436" s="32">
        <f t="shared" si="412"/>
        <v>-24.3334656908456</v>
      </c>
      <c r="BE436" s="31">
        <f t="shared" si="413"/>
        <v>95.1129792721043</v>
      </c>
      <c r="BF436" s="30" t="str">
        <f t="shared" si="414"/>
        <v>0,00921322622336404-0,0392996223137733i</v>
      </c>
      <c r="BG436" s="68">
        <f t="shared" si="415"/>
        <v>-27.879872539186</v>
      </c>
      <c r="BH436" s="31">
        <f t="shared" si="416"/>
        <v>-76.8061039669996</v>
      </c>
      <c r="BI436" s="30" t="str">
        <f t="shared" si="423"/>
        <v>0,468501221427556+0,697963405876148i</v>
      </c>
      <c r="BJ436" s="68">
        <f t="shared" si="417"/>
        <v>-1.50797904261217</v>
      </c>
      <c r="BK436" s="31">
        <f t="shared" si="424"/>
        <v>56.1288929367059</v>
      </c>
      <c r="BL436" s="32">
        <f t="shared" si="418"/>
        <v>-27.879872539186</v>
      </c>
      <c r="BM436" s="31">
        <f t="shared" si="419"/>
        <v>-76.8061039669996</v>
      </c>
      <c r="BO436">
        <f t="shared" si="420"/>
        <v>0</v>
      </c>
      <c r="BP436">
        <f t="shared" si="421"/>
        <v>0</v>
      </c>
    </row>
    <row r="437" spans="14:68">
      <c r="N437" s="7">
        <v>19</v>
      </c>
      <c r="O437" s="18">
        <f t="shared" si="422"/>
        <v>154881.661891248</v>
      </c>
      <c r="P437" s="86" t="str">
        <f t="shared" si="372"/>
        <v>96,0576923076923</v>
      </c>
      <c r="Q437" s="4" t="str">
        <f t="shared" si="373"/>
        <v>1+1299,0057780201i</v>
      </c>
      <c r="R437" s="4">
        <f t="shared" si="384"/>
        <v>1299.0061629298</v>
      </c>
      <c r="S437" s="4">
        <f t="shared" si="385"/>
        <v>1.57002650743044</v>
      </c>
      <c r="T437" s="4" t="str">
        <f t="shared" si="374"/>
        <v>1+15,2589948591954i</v>
      </c>
      <c r="U437" s="4">
        <f t="shared" si="386"/>
        <v>15.2917273096584</v>
      </c>
      <c r="V437" s="4">
        <f t="shared" si="387"/>
        <v>1.50535479083947</v>
      </c>
      <c r="W437" t="str">
        <f t="shared" si="375"/>
        <v>1-7,2445624685806i</v>
      </c>
      <c r="X437" s="4">
        <f t="shared" si="388"/>
        <v>7.31325408837725</v>
      </c>
      <c r="Y437" s="4">
        <f t="shared" si="389"/>
        <v>-1.43362856020687</v>
      </c>
      <c r="Z437" t="str">
        <f t="shared" si="376"/>
        <v>0,804176904569837+12,4185582971102i</v>
      </c>
      <c r="AA437" s="4">
        <f t="shared" si="390"/>
        <v>12.4445687218388</v>
      </c>
      <c r="AB437" s="4">
        <f t="shared" si="391"/>
        <v>1.50613055475268</v>
      </c>
      <c r="AC437" s="67" t="str">
        <f t="shared" si="392"/>
        <v>-0,658279226109258-0,0908612962630598i</v>
      </c>
      <c r="AD437" s="68">
        <f t="shared" si="393"/>
        <v>-3.54983410915567</v>
      </c>
      <c r="AE437" s="31">
        <f t="shared" si="394"/>
        <v>-172.141206486825</v>
      </c>
      <c r="AF437" s="32" t="str">
        <f t="shared" si="395"/>
        <v>236,914774604583</v>
      </c>
      <c r="AG437" s="32" t="str">
        <f t="shared" si="377"/>
        <v>1+320,785687380812i</v>
      </c>
      <c r="AH437" s="32">
        <f t="shared" si="396"/>
        <v>320.787246050057</v>
      </c>
      <c r="AI437" s="32">
        <f t="shared" si="397"/>
        <v>1.56767899082863</v>
      </c>
      <c r="AJ437" s="32" t="str">
        <f t="shared" si="378"/>
        <v>1+15,2589948591954i</v>
      </c>
      <c r="AK437" s="32">
        <f t="shared" si="398"/>
        <v>15.2917273096584</v>
      </c>
      <c r="AL437" s="32">
        <f t="shared" si="399"/>
        <v>1.50535479083947</v>
      </c>
      <c r="AM437" s="32" t="str">
        <f t="shared" si="379"/>
        <v>1-0,725343320014474i</v>
      </c>
      <c r="AN437" s="32">
        <f t="shared" si="400"/>
        <v>1.23536348168854</v>
      </c>
      <c r="AO437" s="32">
        <f t="shared" si="401"/>
        <v>-0.627533191213816</v>
      </c>
      <c r="AP437" s="30" t="str">
        <f t="shared" si="402"/>
        <v>10,7614402381337-8,87922541065247i</v>
      </c>
      <c r="AQ437" s="32">
        <f t="shared" si="403"/>
        <v>22.892527121317</v>
      </c>
      <c r="AR437" s="31">
        <f t="shared" si="404"/>
        <v>-39.5259169818357</v>
      </c>
      <c r="AS437" t="str">
        <f t="shared" si="380"/>
        <v>-0,000272527472527473</v>
      </c>
      <c r="AT437" t="str">
        <f t="shared" si="381"/>
        <v>0,218666845973291i</v>
      </c>
      <c r="AU437">
        <f t="shared" si="405"/>
        <v>0.218666845973291</v>
      </c>
      <c r="AV437">
        <f t="shared" si="406"/>
        <v>1.5707963267949</v>
      </c>
      <c r="AW437" t="str">
        <f t="shared" si="382"/>
        <v>1+11,1953414391014i</v>
      </c>
      <c r="AX437">
        <f t="shared" si="407"/>
        <v>11.2399141428243</v>
      </c>
      <c r="AY437">
        <f t="shared" si="408"/>
        <v>1.48170988490652</v>
      </c>
      <c r="AZ437" t="str">
        <f t="shared" si="383"/>
        <v>1+535,232600290655i</v>
      </c>
      <c r="BA437">
        <f t="shared" si="409"/>
        <v>535.233534463131</v>
      </c>
      <c r="BB437">
        <f t="shared" si="410"/>
        <v>1.56892798238559</v>
      </c>
      <c r="BC437" s="30" t="str">
        <f t="shared" si="411"/>
        <v>-0,00516967839214631+0,0591226283693944i</v>
      </c>
      <c r="BD437" s="32">
        <f t="shared" si="412"/>
        <v>-24.5318466053246</v>
      </c>
      <c r="BE437" s="31">
        <f t="shared" si="413"/>
        <v>94.9972288827116</v>
      </c>
      <c r="BF437" s="30" t="str">
        <f t="shared" si="414"/>
        <v>0,00877505054333816-0,0384494743685767i</v>
      </c>
      <c r="BG437" s="68">
        <f t="shared" si="415"/>
        <v>-28.0816807144803</v>
      </c>
      <c r="BH437" s="31">
        <f t="shared" si="416"/>
        <v>-77.1439776041133</v>
      </c>
      <c r="BI437" s="30" t="str">
        <f t="shared" si="423"/>
        <v>0,469329959094636+0,682147371663072i</v>
      </c>
      <c r="BJ437" s="68">
        <f t="shared" si="417"/>
        <v>-1.63931948400765</v>
      </c>
      <c r="BK437" s="31">
        <f t="shared" si="424"/>
        <v>55.4713119008759</v>
      </c>
      <c r="BL437" s="32">
        <f t="shared" si="418"/>
        <v>-28.0816807144803</v>
      </c>
      <c r="BM437" s="31">
        <f t="shared" si="419"/>
        <v>-77.1439776041133</v>
      </c>
      <c r="BO437">
        <f t="shared" si="420"/>
        <v>0</v>
      </c>
      <c r="BP437">
        <f t="shared" si="421"/>
        <v>0</v>
      </c>
    </row>
    <row r="438" spans="14:68">
      <c r="N438" s="7">
        <v>20</v>
      </c>
      <c r="O438" s="18">
        <f t="shared" si="422"/>
        <v>158489.319246112</v>
      </c>
      <c r="P438" s="86" t="str">
        <f t="shared" si="372"/>
        <v>96,0576923076923</v>
      </c>
      <c r="Q438" s="4" t="str">
        <f t="shared" si="373"/>
        <v>1+1329,26350958019i</v>
      </c>
      <c r="R438" s="4">
        <f t="shared" si="384"/>
        <v>1329.26388572828</v>
      </c>
      <c r="S438" s="4">
        <f t="shared" si="385"/>
        <v>1.57004403065185</v>
      </c>
      <c r="T438" s="4" t="str">
        <f t="shared" si="374"/>
        <v>1+15,6144225086628i</v>
      </c>
      <c r="U438" s="4">
        <f t="shared" si="386"/>
        <v>15.6464114185661</v>
      </c>
      <c r="V438" s="4">
        <f t="shared" si="387"/>
        <v>1.50684031622825</v>
      </c>
      <c r="W438" t="str">
        <f t="shared" si="375"/>
        <v>1-7,41331000623872i</v>
      </c>
      <c r="X438" s="4">
        <f t="shared" si="388"/>
        <v>7.48045220883064</v>
      </c>
      <c r="Y438" s="4">
        <f t="shared" si="389"/>
        <v>-1.43671316563009</v>
      </c>
      <c r="Z438" t="str">
        <f t="shared" si="376"/>
        <v>0,794948046407378+12,7078236796629i</v>
      </c>
      <c r="AA438" s="4">
        <f t="shared" si="390"/>
        <v>12.7326637067775</v>
      </c>
      <c r="AB438" s="4">
        <f t="shared" si="391"/>
        <v>1.50832193647467</v>
      </c>
      <c r="AC438" s="67" t="str">
        <f t="shared" si="392"/>
        <v>-0,658371754211065-0,0883205634734077i</v>
      </c>
      <c r="AD438" s="68">
        <f t="shared" si="393"/>
        <v>-3.5531145424379</v>
      </c>
      <c r="AE438" s="31">
        <f t="shared" si="394"/>
        <v>-172.359387954505</v>
      </c>
      <c r="AF438" s="32" t="str">
        <f t="shared" si="395"/>
        <v>236,914774604583</v>
      </c>
      <c r="AG438" s="32" t="str">
        <f t="shared" si="377"/>
        <v>1+328,257745920752i</v>
      </c>
      <c r="AH438" s="32">
        <f t="shared" si="396"/>
        <v>328.25926911052</v>
      </c>
      <c r="AI438" s="32">
        <f t="shared" si="397"/>
        <v>1.5677499496143</v>
      </c>
      <c r="AJ438" s="32" t="str">
        <f t="shared" si="378"/>
        <v>1+15,6144225086628i</v>
      </c>
      <c r="AK438" s="32">
        <f t="shared" si="398"/>
        <v>15.6464114185661</v>
      </c>
      <c r="AL438" s="32">
        <f t="shared" si="399"/>
        <v>1.50684031622825</v>
      </c>
      <c r="AM438" s="32" t="str">
        <f t="shared" si="379"/>
        <v>1-0,742238736368472i</v>
      </c>
      <c r="AN438" s="32">
        <f t="shared" si="400"/>
        <v>1.24535872011476</v>
      </c>
      <c r="AO438" s="32">
        <f t="shared" si="401"/>
        <v>-0.6385153673129</v>
      </c>
      <c r="AP438" s="30" t="str">
        <f t="shared" si="402"/>
        <v>10,7613413252055-9,05358020473266i</v>
      </c>
      <c r="AQ438" s="32">
        <f t="shared" si="403"/>
        <v>22.9616871778038</v>
      </c>
      <c r="AR438" s="31">
        <f t="shared" si="404"/>
        <v>-40.0741006259847</v>
      </c>
      <c r="AS438" t="str">
        <f t="shared" si="380"/>
        <v>-0,000272527472527473</v>
      </c>
      <c r="AT438" t="str">
        <f t="shared" si="381"/>
        <v>0,223760251128605i</v>
      </c>
      <c r="AU438">
        <f t="shared" si="405"/>
        <v>0.223760251128605</v>
      </c>
      <c r="AV438">
        <f t="shared" si="406"/>
        <v>1.5707963267949</v>
      </c>
      <c r="AW438" t="str">
        <f t="shared" si="382"/>
        <v>1+11,4561144408228i</v>
      </c>
      <c r="AX438">
        <f t="shared" si="407"/>
        <v>11.4996764337623</v>
      </c>
      <c r="AY438">
        <f t="shared" si="408"/>
        <v>1.48372738844973</v>
      </c>
      <c r="AZ438" t="str">
        <f t="shared" si="383"/>
        <v>1+547,699769117636i</v>
      </c>
      <c r="BA438">
        <f t="shared" si="409"/>
        <v>547.700682025787</v>
      </c>
      <c r="BB438">
        <f t="shared" si="410"/>
        <v>1.56897051100094</v>
      </c>
      <c r="BC438" s="30" t="str">
        <f t="shared" si="411"/>
        <v>-0,00493876398424591+0,0577969894767234i</v>
      </c>
      <c r="BD438" s="32">
        <f t="shared" si="412"/>
        <v>-24.7302998264851</v>
      </c>
      <c r="BE438" s="31">
        <f t="shared" si="413"/>
        <v>94.8840711547012</v>
      </c>
      <c r="BF438" s="30" t="str">
        <f t="shared" si="414"/>
        <v>0,00835620538559323-0,0376157109319581i</v>
      </c>
      <c r="BG438" s="68">
        <f t="shared" si="415"/>
        <v>-28.283414368923</v>
      </c>
      <c r="BH438" s="31">
        <f t="shared" si="416"/>
        <v>-77.4753167998037</v>
      </c>
      <c r="BI438" s="30" t="str">
        <f t="shared" si="423"/>
        <v>0,470121954860503+0,666686627171946i</v>
      </c>
      <c r="BJ438" s="68">
        <f t="shared" si="417"/>
        <v>-1.76861264868132</v>
      </c>
      <c r="BK438" s="31">
        <f t="shared" si="424"/>
        <v>54.8099705287165</v>
      </c>
      <c r="BL438" s="32">
        <f t="shared" si="418"/>
        <v>-28.283414368923</v>
      </c>
      <c r="BM438" s="31">
        <f t="shared" si="419"/>
        <v>-77.4753167998037</v>
      </c>
      <c r="BO438">
        <f t="shared" si="420"/>
        <v>0</v>
      </c>
      <c r="BP438">
        <f t="shared" si="421"/>
        <v>0</v>
      </c>
    </row>
    <row r="439" spans="14:68">
      <c r="N439" s="7">
        <v>21</v>
      </c>
      <c r="O439" s="18">
        <f t="shared" si="422"/>
        <v>162181.009735893</v>
      </c>
      <c r="P439" s="86" t="str">
        <f t="shared" si="372"/>
        <v>96,0576923076923</v>
      </c>
      <c r="Q439" s="4" t="str">
        <f t="shared" si="373"/>
        <v>1+1360,22603424792i</v>
      </c>
      <c r="R439" s="4">
        <f t="shared" si="384"/>
        <v>1360.22640183384</v>
      </c>
      <c r="S439" s="4">
        <f t="shared" si="385"/>
        <v>1.57006115499649</v>
      </c>
      <c r="T439" s="4" t="str">
        <f t="shared" si="374"/>
        <v>1+15,9781291316254i</v>
      </c>
      <c r="U439" s="4">
        <f t="shared" si="386"/>
        <v>16.0093913234356</v>
      </c>
      <c r="V439" s="4">
        <f t="shared" si="387"/>
        <v>1.50829230011206</v>
      </c>
      <c r="W439" t="str">
        <f t="shared" si="375"/>
        <v>1-7,58598817898883i</v>
      </c>
      <c r="X439" s="4">
        <f t="shared" si="388"/>
        <v>7.65161529690027</v>
      </c>
      <c r="Y439" s="4">
        <f t="shared" si="389"/>
        <v>-1.43973003929377</v>
      </c>
      <c r="Z439" t="str">
        <f t="shared" si="376"/>
        <v>0,785284245559561+13,0038269185384i</v>
      </c>
      <c r="AA439" s="4">
        <f t="shared" si="390"/>
        <v>13.0275164890945</v>
      </c>
      <c r="AB439" s="4">
        <f t="shared" si="391"/>
        <v>1.51048087170482</v>
      </c>
      <c r="AC439" s="67" t="str">
        <f t="shared" si="392"/>
        <v>-0,658459456332745-0,0858259819176083i</v>
      </c>
      <c r="AD439" s="68">
        <f t="shared" si="393"/>
        <v>-3.55625471421611</v>
      </c>
      <c r="AE439" s="31">
        <f t="shared" si="394"/>
        <v>-172.573728563899</v>
      </c>
      <c r="AF439" s="32" t="str">
        <f t="shared" si="395"/>
        <v>236,914774604583</v>
      </c>
      <c r="AG439" s="32" t="str">
        <f t="shared" si="377"/>
        <v>1+335,903851062579i</v>
      </c>
      <c r="AH439" s="32">
        <f t="shared" si="396"/>
        <v>335.905339580471</v>
      </c>
      <c r="AI439" s="32">
        <f t="shared" si="397"/>
        <v>1.56781929321046</v>
      </c>
      <c r="AJ439" s="32" t="str">
        <f t="shared" si="378"/>
        <v>1+15,9781291316254i</v>
      </c>
      <c r="AK439" s="32">
        <f t="shared" si="398"/>
        <v>16.0093913234356</v>
      </c>
      <c r="AL439" s="32">
        <f t="shared" si="399"/>
        <v>1.50829230011206</v>
      </c>
      <c r="AM439" s="32" t="str">
        <f t="shared" si="379"/>
        <v>1-0,759527697525174i</v>
      </c>
      <c r="AN439" s="32">
        <f t="shared" si="400"/>
        <v>1.25573975142459</v>
      </c>
      <c r="AO439" s="32">
        <f t="shared" si="401"/>
        <v>-0.64957100091568</v>
      </c>
      <c r="AP439" s="30" t="str">
        <f t="shared" si="402"/>
        <v>10,7612468640116-9,23273529974476i</v>
      </c>
      <c r="AQ439" s="32">
        <f t="shared" si="403"/>
        <v>23.0329940112465</v>
      </c>
      <c r="AR439" s="31">
        <f t="shared" si="404"/>
        <v>-40.6283223181998</v>
      </c>
      <c r="AS439" t="str">
        <f t="shared" si="380"/>
        <v>-0,000272527472527473</v>
      </c>
      <c r="AT439" t="str">
        <f t="shared" si="381"/>
        <v>0,228972296930882i</v>
      </c>
      <c r="AU439">
        <f t="shared" si="405"/>
        <v>0.228972296930882</v>
      </c>
      <c r="AV439">
        <f t="shared" si="406"/>
        <v>1.5707963267949</v>
      </c>
      <c r="AW439" t="str">
        <f t="shared" si="382"/>
        <v>1+11,7229616260603i</v>
      </c>
      <c r="AX439">
        <f t="shared" si="407"/>
        <v>11.7655356565726</v>
      </c>
      <c r="AY439">
        <f t="shared" si="408"/>
        <v>1.4856996548793</v>
      </c>
      <c r="AZ439" t="str">
        <f t="shared" si="383"/>
        <v>1+560,45733561186i</v>
      </c>
      <c r="BA439">
        <f t="shared" si="409"/>
        <v>560.458227739717</v>
      </c>
      <c r="BB439">
        <f t="shared" si="410"/>
        <v>1.5690120715532</v>
      </c>
      <c r="BC439" s="30" t="str">
        <f t="shared" si="411"/>
        <v>-0,00471808874273655+0,0565001935645231i</v>
      </c>
      <c r="BD439" s="32">
        <f t="shared" si="412"/>
        <v>-24.9288221492641</v>
      </c>
      <c r="BE439" s="31">
        <f t="shared" si="413"/>
        <v>94.7734498564498</v>
      </c>
      <c r="BF439" s="30" t="str">
        <f t="shared" si="414"/>
        <v>0,00795585473968208-0,036798152138071i</v>
      </c>
      <c r="BG439" s="68">
        <f t="shared" si="415"/>
        <v>-28.4850768634802</v>
      </c>
      <c r="BH439" s="31">
        <f t="shared" si="416"/>
        <v>-77.8002787074494</v>
      </c>
      <c r="BI439" s="30" t="str">
        <f t="shared" si="423"/>
        <v>0,470878813878682+0,651573395294665i</v>
      </c>
      <c r="BJ439" s="68">
        <f t="shared" si="417"/>
        <v>-1.89582813801761</v>
      </c>
      <c r="BK439" s="31">
        <f t="shared" si="424"/>
        <v>54.1451275382501</v>
      </c>
      <c r="BL439" s="32">
        <f t="shared" si="418"/>
        <v>-28.4850768634802</v>
      </c>
      <c r="BM439" s="31">
        <f t="shared" si="419"/>
        <v>-77.8002787074494</v>
      </c>
      <c r="BO439">
        <f t="shared" si="420"/>
        <v>0</v>
      </c>
      <c r="BP439">
        <f t="shared" si="421"/>
        <v>0</v>
      </c>
    </row>
    <row r="440" spans="14:68">
      <c r="N440" s="7">
        <v>22</v>
      </c>
      <c r="O440" s="18">
        <f t="shared" si="422"/>
        <v>165958.690743756</v>
      </c>
      <c r="P440" s="86" t="str">
        <f t="shared" si="372"/>
        <v>96,0576923076923</v>
      </c>
      <c r="Q440" s="4" t="str">
        <f t="shared" si="373"/>
        <v>1+1391,90976876374i</v>
      </c>
      <c r="R440" s="4">
        <f t="shared" si="384"/>
        <v>1391.91012798238</v>
      </c>
      <c r="S440" s="4">
        <f t="shared" si="385"/>
        <v>1.57007788954387</v>
      </c>
      <c r="T440" s="4" t="str">
        <f t="shared" si="374"/>
        <v>1+16,3503075701493i</v>
      </c>
      <c r="U440" s="4">
        <f t="shared" si="386"/>
        <v>16.3808594902246</v>
      </c>
      <c r="V440" s="4">
        <f t="shared" si="387"/>
        <v>1.50971148784892</v>
      </c>
      <c r="W440" t="str">
        <f t="shared" si="375"/>
        <v>1-7,76268854308393i</v>
      </c>
      <c r="X440" s="4">
        <f t="shared" si="388"/>
        <v>7.82683418866955</v>
      </c>
      <c r="Y440" s="4">
        <f t="shared" si="389"/>
        <v>-1.44268056100283</v>
      </c>
      <c r="Z440" t="str">
        <f t="shared" si="376"/>
        <v>0,775165003809128+13,3067249585722i</v>
      </c>
      <c r="AA440" s="4">
        <f t="shared" si="390"/>
        <v>13.3292839232353</v>
      </c>
      <c r="AB440" s="4">
        <f t="shared" si="391"/>
        <v>1.51260845936359</v>
      </c>
      <c r="AC440" s="67" t="str">
        <f t="shared" si="392"/>
        <v>-0,658542511400561-0,0833762752521464i</v>
      </c>
      <c r="AD440" s="68">
        <f t="shared" si="393"/>
        <v>-3.55926092668306</v>
      </c>
      <c r="AE440" s="31">
        <f t="shared" si="394"/>
        <v>-172.784328149859</v>
      </c>
      <c r="AF440" s="32" t="str">
        <f t="shared" si="395"/>
        <v>236,914774604583</v>
      </c>
      <c r="AG440" s="32" t="str">
        <f t="shared" si="377"/>
        <v>1+343,728056872457i</v>
      </c>
      <c r="AH440" s="32">
        <f t="shared" si="396"/>
        <v>343.72951150769</v>
      </c>
      <c r="AI440" s="32">
        <f t="shared" si="397"/>
        <v>1.56788705838132</v>
      </c>
      <c r="AJ440" s="32" t="str">
        <f t="shared" si="378"/>
        <v>1+16,3503075701493i</v>
      </c>
      <c r="AK440" s="32">
        <f t="shared" si="398"/>
        <v>16.3808594902246</v>
      </c>
      <c r="AL440" s="32">
        <f t="shared" si="399"/>
        <v>1.50971148784892</v>
      </c>
      <c r="AM440" s="32" t="str">
        <f t="shared" si="379"/>
        <v>1-0,77721937032065i</v>
      </c>
      <c r="AN440" s="32">
        <f t="shared" si="400"/>
        <v>1.26651883112792</v>
      </c>
      <c r="AO440" s="32">
        <f t="shared" si="401"/>
        <v>-0.660695143884498</v>
      </c>
      <c r="AP440" s="30" t="str">
        <f t="shared" si="402"/>
        <v>10,761156654198-9,41678568790251i</v>
      </c>
      <c r="AQ440" s="32">
        <f t="shared" si="403"/>
        <v>23.1064732189877</v>
      </c>
      <c r="AR440" s="31">
        <f t="shared" si="404"/>
        <v>-41.1882579516426</v>
      </c>
      <c r="AS440" t="str">
        <f t="shared" si="380"/>
        <v>-0,000272527472527473</v>
      </c>
      <c r="AT440" t="str">
        <f t="shared" si="381"/>
        <v>0,2343057468758i</v>
      </c>
      <c r="AU440">
        <f t="shared" si="405"/>
        <v>0.2343057468758</v>
      </c>
      <c r="AV440">
        <f t="shared" si="406"/>
        <v>1.5707963267949</v>
      </c>
      <c r="AW440" t="str">
        <f t="shared" si="382"/>
        <v>1+11,9960244807237i</v>
      </c>
      <c r="AX440">
        <f t="shared" si="407"/>
        <v>12.0376327964481</v>
      </c>
      <c r="AY440">
        <f t="shared" si="408"/>
        <v>1.48762766850863</v>
      </c>
      <c r="AZ440" t="str">
        <f t="shared" si="383"/>
        <v>1+573,512064003961i</v>
      </c>
      <c r="BA440">
        <f t="shared" si="409"/>
        <v>573.51293582454</v>
      </c>
      <c r="BB440">
        <f t="shared" si="410"/>
        <v>1.56905268607775</v>
      </c>
      <c r="BC440" s="30" t="str">
        <f t="shared" si="411"/>
        <v>-0,0045072052093066+0,0552316715941999i</v>
      </c>
      <c r="BD440" s="32">
        <f t="shared" si="412"/>
        <v>-25.1274105085619</v>
      </c>
      <c r="BE440" s="31">
        <f t="shared" si="413"/>
        <v>94.6653098534894</v>
      </c>
      <c r="BF440" s="30" t="str">
        <f t="shared" si="414"/>
        <v>0,00757319729140863-0,0359966097383464i</v>
      </c>
      <c r="BG440" s="68">
        <f t="shared" si="415"/>
        <v>-28.6866714352449</v>
      </c>
      <c r="BH440" s="31">
        <f t="shared" si="416"/>
        <v>-78.1190182963698</v>
      </c>
      <c r="BI440" s="30" t="str">
        <f t="shared" si="423"/>
        <v>0,471602073257228+0,636800055805841i</v>
      </c>
      <c r="BJ440" s="68">
        <f t="shared" si="417"/>
        <v>-2.02093728957416</v>
      </c>
      <c r="BK440" s="31">
        <f t="shared" si="424"/>
        <v>53.4770519018468</v>
      </c>
      <c r="BL440" s="32">
        <f t="shared" si="418"/>
        <v>-28.6866714352449</v>
      </c>
      <c r="BM440" s="31">
        <f t="shared" si="419"/>
        <v>-78.1190182963698</v>
      </c>
      <c r="BO440">
        <f t="shared" si="420"/>
        <v>0</v>
      </c>
      <c r="BP440">
        <f t="shared" si="421"/>
        <v>0</v>
      </c>
    </row>
    <row r="441" spans="14:68">
      <c r="N441" s="7">
        <v>23</v>
      </c>
      <c r="O441" s="18">
        <f t="shared" si="422"/>
        <v>169824.365246175</v>
      </c>
      <c r="P441" s="86" t="str">
        <f t="shared" si="372"/>
        <v>96,0576923076923</v>
      </c>
      <c r="Q441" s="4" t="str">
        <f t="shared" si="373"/>
        <v>1+1424,33151226307i</v>
      </c>
      <c r="R441" s="4">
        <f t="shared" si="384"/>
        <v>1424.3318633049</v>
      </c>
      <c r="S441" s="4">
        <f t="shared" si="385"/>
        <v>1.57009424316683</v>
      </c>
      <c r="T441" s="4" t="str">
        <f t="shared" si="374"/>
        <v>1+16,7311551581689i</v>
      </c>
      <c r="U441" s="4">
        <f t="shared" si="386"/>
        <v>16.7610128848683</v>
      </c>
      <c r="V441" s="4">
        <f t="shared" si="387"/>
        <v>1.51109860903105</v>
      </c>
      <c r="W441" t="str">
        <f t="shared" si="375"/>
        <v>1-7,94350478739593i</v>
      </c>
      <c r="X441" s="4">
        <f t="shared" si="388"/>
        <v>8.00620186526558</v>
      </c>
      <c r="Y441" s="4">
        <f t="shared" si="389"/>
        <v>-1.44556608956584</v>
      </c>
      <c r="Z441" t="str">
        <f t="shared" si="376"/>
        <v>0,76456885688762+13,6166784003145i</v>
      </c>
      <c r="AA441" s="4">
        <f t="shared" si="390"/>
        <v>13.6381265646904</v>
      </c>
      <c r="AB441" s="4">
        <f t="shared" si="391"/>
        <v>1.51470578471243</v>
      </c>
      <c r="AC441" s="67" t="str">
        <f t="shared" si="392"/>
        <v>-0,658621089106627-0,0809701880098513i</v>
      </c>
      <c r="AD441" s="68">
        <f t="shared" si="393"/>
        <v>-3.56213922870204</v>
      </c>
      <c r="AE441" s="31">
        <f t="shared" si="394"/>
        <v>-172.991285453105</v>
      </c>
      <c r="AF441" s="32" t="str">
        <f t="shared" si="395"/>
        <v>236,914774604583</v>
      </c>
      <c r="AG441" s="32" t="str">
        <f t="shared" si="377"/>
        <v>1+351,734511847867i</v>
      </c>
      <c r="AH441" s="32">
        <f t="shared" si="396"/>
        <v>351.735933371695</v>
      </c>
      <c r="AI441" s="32">
        <f t="shared" si="397"/>
        <v>1.5679532810544</v>
      </c>
      <c r="AJ441" s="32" t="str">
        <f t="shared" si="378"/>
        <v>1+16,7311551581689i</v>
      </c>
      <c r="AK441" s="32">
        <f t="shared" si="398"/>
        <v>16.7610128848683</v>
      </c>
      <c r="AL441" s="32">
        <f t="shared" si="399"/>
        <v>1.51109860903105</v>
      </c>
      <c r="AM441" s="32" t="str">
        <f t="shared" si="379"/>
        <v>1-0,795323135113986i</v>
      </c>
      <c r="AN441" s="32">
        <f t="shared" si="400"/>
        <v>1.27770845236601</v>
      </c>
      <c r="AO441" s="32">
        <f t="shared" si="401"/>
        <v>-0.671882682280662</v>
      </c>
      <c r="AP441" s="30" t="str">
        <f t="shared" si="402"/>
        <v>10,7610705044278-9,60582895684796i</v>
      </c>
      <c r="AQ441" s="32">
        <f t="shared" si="403"/>
        <v>23.182148696749</v>
      </c>
      <c r="AR441" s="31">
        <f t="shared" si="404"/>
        <v>-41.7535747751498</v>
      </c>
      <c r="AS441" t="str">
        <f t="shared" si="380"/>
        <v>-0,000272527472527473</v>
      </c>
      <c r="AT441" t="str">
        <f t="shared" si="381"/>
        <v>0,239763428829115i</v>
      </c>
      <c r="AU441">
        <f t="shared" si="405"/>
        <v>0.239763428829115</v>
      </c>
      <c r="AV441">
        <f t="shared" si="406"/>
        <v>1.5707963267949</v>
      </c>
      <c r="AW441" t="str">
        <f t="shared" si="382"/>
        <v>1+12,275447786353i</v>
      </c>
      <c r="AX441">
        <f t="shared" si="407"/>
        <v>12.3161121444829</v>
      </c>
      <c r="AY441">
        <f t="shared" si="408"/>
        <v>1.4895123942291</v>
      </c>
      <c r="AZ441" t="str">
        <f t="shared" si="383"/>
        <v>1+586,870876083728i</v>
      </c>
      <c r="BA441">
        <f t="shared" si="409"/>
        <v>586.871728059277</v>
      </c>
      <c r="BB441">
        <f t="shared" si="410"/>
        <v>1.56909237610841</v>
      </c>
      <c r="BC441" s="30" t="str">
        <f t="shared" si="411"/>
        <v>-0,00430568490560944+0,0539908617912764i</v>
      </c>
      <c r="BD441" s="32">
        <f t="shared" si="412"/>
        <v>-25.3260619733135</v>
      </c>
      <c r="BE441" s="31">
        <f t="shared" si="413"/>
        <v>94.5595970954116</v>
      </c>
      <c r="BF441" s="30" t="str">
        <f t="shared" si="414"/>
        <v>0,007207465111936-0,0352108880784575i</v>
      </c>
      <c r="BG441" s="68">
        <f t="shared" si="415"/>
        <v>-28.8882012020156</v>
      </c>
      <c r="BH441" s="31">
        <f t="shared" si="416"/>
        <v>-78.4316883576936</v>
      </c>
      <c r="BI441" s="30" t="str">
        <f t="shared" si="423"/>
        <v>0,472293204760705+0,622359143076109i</v>
      </c>
      <c r="BJ441" s="68">
        <f t="shared" si="417"/>
        <v>-2.14391327656457</v>
      </c>
      <c r="BK441" s="31">
        <f t="shared" si="424"/>
        <v>52.8060223202619</v>
      </c>
      <c r="BL441" s="32">
        <f t="shared" si="418"/>
        <v>-28.8882012020156</v>
      </c>
      <c r="BM441" s="31">
        <f t="shared" si="419"/>
        <v>-78.4316883576936</v>
      </c>
      <c r="BO441">
        <f t="shared" si="420"/>
        <v>0</v>
      </c>
      <c r="BP441">
        <f t="shared" si="421"/>
        <v>0</v>
      </c>
    </row>
    <row r="442" spans="14:68">
      <c r="N442" s="7">
        <v>24</v>
      </c>
      <c r="O442" s="18">
        <f t="shared" si="422"/>
        <v>173780.082874938</v>
      </c>
      <c r="P442" s="86" t="str">
        <f t="shared" si="372"/>
        <v>96,0576923076923</v>
      </c>
      <c r="Q442" s="4" t="str">
        <f t="shared" si="373"/>
        <v>1+1457,50845518344i</v>
      </c>
      <c r="R442" s="4">
        <f t="shared" si="384"/>
        <v>1457.50879823458</v>
      </c>
      <c r="S442" s="4">
        <f t="shared" si="385"/>
        <v>1.57011022453626</v>
      </c>
      <c r="T442" s="4" t="str">
        <f t="shared" si="374"/>
        <v>1+17,1208738261161i</v>
      </c>
      <c r="U442" s="4">
        <f t="shared" si="386"/>
        <v>17.1500530777542</v>
      </c>
      <c r="V442" s="4">
        <f t="shared" si="387"/>
        <v>1.51245437776464</v>
      </c>
      <c r="W442" t="str">
        <f t="shared" si="375"/>
        <v>1-8,12853278309084i</v>
      </c>
      <c r="X442" s="4">
        <f t="shared" si="388"/>
        <v>8.18981350250312</v>
      </c>
      <c r="Y442" s="4">
        <f t="shared" si="389"/>
        <v>-1.44838796262018</v>
      </c>
      <c r="Z442" t="str">
        <f t="shared" si="376"/>
        <v>0,753473328946772+13,9338515851824i</v>
      </c>
      <c r="AA442" s="4">
        <f t="shared" si="390"/>
        <v>13.9542087577664</v>
      </c>
      <c r="AB442" s="4">
        <f t="shared" si="391"/>
        <v>1.51677391973102</v>
      </c>
      <c r="AC442" s="67" t="str">
        <f t="shared" si="392"/>
        <v>-0,658695350215475-0,0786064851310553i</v>
      </c>
      <c r="AD442" s="68">
        <f t="shared" si="393"/>
        <v>-3.56489542601403</v>
      </c>
      <c r="AE442" s="31">
        <f t="shared" si="394"/>
        <v>-173.194698116057</v>
      </c>
      <c r="AF442" s="32" t="str">
        <f t="shared" si="395"/>
        <v>236,914774604583</v>
      </c>
      <c r="AG442" s="32" t="str">
        <f t="shared" si="377"/>
        <v>1+359,927461117213i</v>
      </c>
      <c r="AH442" s="32">
        <f t="shared" si="396"/>
        <v>359.928850283334</v>
      </c>
      <c r="AI442" s="32">
        <f t="shared" si="397"/>
        <v>1.56801799633949</v>
      </c>
      <c r="AJ442" s="32" t="str">
        <f t="shared" si="378"/>
        <v>1+17,1208738261161i</v>
      </c>
      <c r="AK442" s="32">
        <f t="shared" si="398"/>
        <v>17.1500530777542</v>
      </c>
      <c r="AL442" s="32">
        <f t="shared" si="399"/>
        <v>1.51245437776464</v>
      </c>
      <c r="AM442" s="32" t="str">
        <f t="shared" si="379"/>
        <v>1-0,813848590760897i</v>
      </c>
      <c r="AN442" s="32">
        <f t="shared" si="400"/>
        <v>1.28932134422862</v>
      </c>
      <c r="AO442" s="32">
        <f t="shared" si="401"/>
        <v>-0.683128346511956</v>
      </c>
      <c r="AP442" s="30" t="str">
        <f t="shared" si="402"/>
        <v>10,7609882319746-9,79996534140142i</v>
      </c>
      <c r="AQ442" s="32">
        <f t="shared" si="403"/>
        <v>23.2600425381527</v>
      </c>
      <c r="AR442" s="31">
        <f t="shared" si="404"/>
        <v>-42.3239319596994</v>
      </c>
      <c r="AS442" t="str">
        <f t="shared" si="380"/>
        <v>-0,000272527472527473</v>
      </c>
      <c r="AT442" t="str">
        <f t="shared" si="381"/>
        <v>0,245348236526039i</v>
      </c>
      <c r="AU442">
        <f t="shared" si="405"/>
        <v>0.245348236526039</v>
      </c>
      <c r="AV442">
        <f t="shared" si="406"/>
        <v>1.5707963267949</v>
      </c>
      <c r="AW442" t="str">
        <f t="shared" si="382"/>
        <v>1+12,5613796968833i</v>
      </c>
      <c r="AX442">
        <f t="shared" si="407"/>
        <v>12.6011213742774</v>
      </c>
      <c r="AY442">
        <f t="shared" si="408"/>
        <v>1.4913547777582</v>
      </c>
      <c r="AZ442" t="str">
        <f t="shared" si="383"/>
        <v>1+600,540854870142i</v>
      </c>
      <c r="BA442">
        <f t="shared" si="409"/>
        <v>600.541687452387</v>
      </c>
      <c r="BB442">
        <f t="shared" si="410"/>
        <v>1.56913116268885</v>
      </c>
      <c r="BC442" s="30" t="str">
        <f t="shared" si="411"/>
        <v>-0,00411311757866453+0,0527772098434732i</v>
      </c>
      <c r="BD442" s="32">
        <f t="shared" si="412"/>
        <v>-25.5247737407963</v>
      </c>
      <c r="BE442" s="31">
        <f t="shared" si="413"/>
        <v>94.4562586023113</v>
      </c>
      <c r="BF442" s="30" t="str">
        <f t="shared" si="414"/>
        <v>0,00685792238477542-0,0344407850054526i</v>
      </c>
      <c r="BG442" s="68">
        <f t="shared" si="415"/>
        <v>-29.0896691668103</v>
      </c>
      <c r="BH442" s="31">
        <f t="shared" si="416"/>
        <v>-78.7384395137459</v>
      </c>
      <c r="BI442" s="30" t="str">
        <f t="shared" si="423"/>
        <v>0,47295361742117+0,608243343758091i</v>
      </c>
      <c r="BJ442" s="68">
        <f t="shared" si="417"/>
        <v>-2.2647312026436</v>
      </c>
      <c r="BK442" s="31">
        <f t="shared" si="424"/>
        <v>52.132326642612</v>
      </c>
      <c r="BL442" s="32">
        <f t="shared" si="418"/>
        <v>-29.0896691668103</v>
      </c>
      <c r="BM442" s="31">
        <f t="shared" si="419"/>
        <v>-78.7384395137459</v>
      </c>
      <c r="BO442">
        <f t="shared" si="420"/>
        <v>0</v>
      </c>
      <c r="BP442">
        <f t="shared" si="421"/>
        <v>0</v>
      </c>
    </row>
    <row r="443" spans="14:68">
      <c r="N443" s="7">
        <v>25</v>
      </c>
      <c r="O443" s="18">
        <f t="shared" si="422"/>
        <v>177827.941003893</v>
      </c>
      <c r="P443" s="86" t="str">
        <f t="shared" si="372"/>
        <v>96,0576923076923</v>
      </c>
      <c r="Q443" s="4" t="str">
        <f t="shared" si="373"/>
        <v>1+1491,45818837917i</v>
      </c>
      <c r="R443" s="4">
        <f t="shared" si="384"/>
        <v>1491.45852362152</v>
      </c>
      <c r="S443" s="4">
        <f t="shared" si="385"/>
        <v>1.57012584212564</v>
      </c>
      <c r="T443" s="4" t="str">
        <f t="shared" si="374"/>
        <v>1+17,5196702079876i</v>
      </c>
      <c r="U443" s="4">
        <f t="shared" si="386"/>
        <v>17.548186350636</v>
      </c>
      <c r="V443" s="4">
        <f t="shared" si="387"/>
        <v>1.51377949294855</v>
      </c>
      <c r="W443" t="str">
        <f t="shared" si="375"/>
        <v>1-8,31787063446126i</v>
      </c>
      <c r="X443" s="4">
        <f t="shared" si="388"/>
        <v>8.37776652167109</v>
      </c>
      <c r="Y443" s="4">
        <f t="shared" si="389"/>
        <v>-1.45114749650033</v>
      </c>
      <c r="Z443" t="str">
        <f t="shared" si="376"/>
        <v>0,74185488488421+14,2584126825973i</v>
      </c>
      <c r="AA443" s="4">
        <f t="shared" si="390"/>
        <v>14.2776987255467</v>
      </c>
      <c r="AB443" s="4">
        <f t="shared" si="391"/>
        <v>1.51881392349997</v>
      </c>
      <c r="AC443" s="67" t="str">
        <f t="shared" si="392"/>
        <v>-0,658765446856242-0,0762839514936752i</v>
      </c>
      <c r="AD443" s="68">
        <f t="shared" si="393"/>
        <v>-3.5675350911495</v>
      </c>
      <c r="AE443" s="31">
        <f t="shared" si="394"/>
        <v>-173.394662681516</v>
      </c>
      <c r="AF443" s="32" t="str">
        <f t="shared" si="395"/>
        <v>236,914774604583</v>
      </c>
      <c r="AG443" s="32" t="str">
        <f t="shared" si="377"/>
        <v>1+368,311248690649i</v>
      </c>
      <c r="AH443" s="32">
        <f t="shared" si="396"/>
        <v>368.312606235607</v>
      </c>
      <c r="AI443" s="32">
        <f t="shared" si="397"/>
        <v>1.56808123854734</v>
      </c>
      <c r="AJ443" s="32" t="str">
        <f t="shared" si="378"/>
        <v>1+17,5196702079876i</v>
      </c>
      <c r="AK443" s="32">
        <f t="shared" si="398"/>
        <v>17.548186350636</v>
      </c>
      <c r="AL443" s="32">
        <f t="shared" si="399"/>
        <v>1.51377949294855</v>
      </c>
      <c r="AM443" s="32" t="str">
        <f t="shared" si="379"/>
        <v>1-0,832805559703196i</v>
      </c>
      <c r="AN443" s="32">
        <f t="shared" si="400"/>
        <v>1.30137047003248</v>
      </c>
      <c r="AO443" s="32">
        <f t="shared" si="401"/>
        <v>-0.694426722377574</v>
      </c>
      <c r="AP443" s="30" t="str">
        <f t="shared" si="402"/>
        <v>10,7609096623359-9,99929777671593i</v>
      </c>
      <c r="AQ443" s="32">
        <f t="shared" si="403"/>
        <v>23.3401749399276</v>
      </c>
      <c r="AR443" s="31">
        <f t="shared" si="404"/>
        <v>-42.8989812163414</v>
      </c>
      <c r="AS443" t="str">
        <f t="shared" si="380"/>
        <v>-0,000272527472527473</v>
      </c>
      <c r="AT443" t="str">
        <f t="shared" si="381"/>
        <v>0,251063131105537i</v>
      </c>
      <c r="AU443">
        <f t="shared" si="405"/>
        <v>0.251063131105537</v>
      </c>
      <c r="AV443">
        <f t="shared" si="406"/>
        <v>1.5707963267949</v>
      </c>
      <c r="AW443" t="str">
        <f t="shared" si="382"/>
        <v>1+12,8539718171985i</v>
      </c>
      <c r="AX443">
        <f t="shared" si="407"/>
        <v>12.8928116203307</v>
      </c>
      <c r="AY443">
        <f t="shared" si="408"/>
        <v>1.4931557458942</v>
      </c>
      <c r="AZ443" t="str">
        <f t="shared" si="383"/>
        <v>1+614,529248366912i</v>
      </c>
      <c r="BA443">
        <f t="shared" si="409"/>
        <v>614.530061997297</v>
      </c>
      <c r="BB443">
        <f t="shared" si="410"/>
        <v>1.56916906638378</v>
      </c>
      <c r="BC443" s="30" t="str">
        <f t="shared" si="411"/>
        <v>-0,00392911047175101+0,0515901690717568i</v>
      </c>
      <c r="BD443" s="32">
        <f t="shared" si="412"/>
        <v>-25.7235431311628</v>
      </c>
      <c r="BE443" s="31">
        <f t="shared" si="413"/>
        <v>94.3552424508283</v>
      </c>
      <c r="BF443" s="30" t="str">
        <f t="shared" si="414"/>
        <v>0,00652386417069099-0,0336860927093046i</v>
      </c>
      <c r="BG443" s="68">
        <f t="shared" si="415"/>
        <v>-29.2910782223123</v>
      </c>
      <c r="BH443" s="31">
        <f t="shared" si="416"/>
        <v>-79.0394202306874</v>
      </c>
      <c r="BI443" s="30" t="str">
        <f t="shared" si="423"/>
        <v>0,473584660059766+0,594445494450462i</v>
      </c>
      <c r="BJ443" s="68">
        <f t="shared" si="417"/>
        <v>-2.38336819123514</v>
      </c>
      <c r="BK443" s="31">
        <f t="shared" si="424"/>
        <v>51.456261234487</v>
      </c>
      <c r="BL443" s="32">
        <f t="shared" si="418"/>
        <v>-29.2910782223123</v>
      </c>
      <c r="BM443" s="31">
        <f t="shared" si="419"/>
        <v>-79.0394202306874</v>
      </c>
      <c r="BO443">
        <f t="shared" si="420"/>
        <v>0</v>
      </c>
      <c r="BP443">
        <f t="shared" si="421"/>
        <v>0</v>
      </c>
    </row>
    <row r="444" spans="14:68">
      <c r="N444" s="7">
        <v>26</v>
      </c>
      <c r="O444" s="18">
        <f t="shared" si="422"/>
        <v>181970.085860999</v>
      </c>
      <c r="P444" s="86" t="str">
        <f t="shared" si="372"/>
        <v>96,0576923076923</v>
      </c>
      <c r="Q444" s="4" t="str">
        <f t="shared" si="373"/>
        <v>1+1526,19871244815i</v>
      </c>
      <c r="R444" s="4">
        <f t="shared" si="384"/>
        <v>1526.19904005945</v>
      </c>
      <c r="S444" s="4">
        <f t="shared" si="385"/>
        <v>1.5701411042156</v>
      </c>
      <c r="T444" s="4" t="str">
        <f t="shared" si="374"/>
        <v>1+17,9277557509037i</v>
      </c>
      <c r="U444" s="4">
        <f t="shared" si="386"/>
        <v>17.9556238060408</v>
      </c>
      <c r="V444" s="4">
        <f t="shared" si="387"/>
        <v>1.51507463855139</v>
      </c>
      <c r="W444" t="str">
        <f t="shared" si="375"/>
        <v>1-8,51161873094209i</v>
      </c>
      <c r="X444" s="4">
        <f t="shared" si="388"/>
        <v>8.57016064148883</v>
      </c>
      <c r="Y444" s="4">
        <f t="shared" si="389"/>
        <v>-1.4538459861461</v>
      </c>
      <c r="Z444" t="str">
        <f t="shared" si="376"/>
        <v>0,72968888042237+14,5905337791489i</v>
      </c>
      <c r="AA444" s="4">
        <f t="shared" si="390"/>
        <v>14.608768662098</v>
      </c>
      <c r="AB444" s="4">
        <f t="shared" si="391"/>
        <v>1.52082684258845</v>
      </c>
      <c r="AC444" s="67" t="str">
        <f t="shared" si="392"/>
        <v>-0,658831522800851-0,0740013914427778i</v>
      </c>
      <c r="AD444" s="68">
        <f t="shared" si="393"/>
        <v>-3.57006357304588</v>
      </c>
      <c r="AE444" s="31">
        <f t="shared" si="394"/>
        <v>-173.591274593993</v>
      </c>
      <c r="AF444" s="32" t="str">
        <f t="shared" si="395"/>
        <v>236,914774604583</v>
      </c>
      <c r="AG444" s="32" t="str">
        <f t="shared" si="377"/>
        <v>1+376,890319763315i</v>
      </c>
      <c r="AH444" s="32">
        <f t="shared" si="396"/>
        <v>376.891646406887</v>
      </c>
      <c r="AI444" s="32">
        <f t="shared" si="397"/>
        <v>1.56814304120777</v>
      </c>
      <c r="AJ444" s="32" t="str">
        <f t="shared" si="378"/>
        <v>1+17,9277557509037i</v>
      </c>
      <c r="AK444" s="32">
        <f t="shared" si="398"/>
        <v>17.9556238060408</v>
      </c>
      <c r="AL444" s="32">
        <f t="shared" si="399"/>
        <v>1.51507463855139</v>
      </c>
      <c r="AM444" s="32" t="str">
        <f t="shared" si="379"/>
        <v>1-0,852204093176733i</v>
      </c>
      <c r="AN444" s="32">
        <f t="shared" si="400"/>
        <v>1.31386902559851</v>
      </c>
      <c r="AO444" s="32">
        <f t="shared" si="401"/>
        <v>-0.705772262963652</v>
      </c>
      <c r="AP444" s="30" t="str">
        <f t="shared" si="402"/>
        <v>10,7608346288626-10,2039319528608i</v>
      </c>
      <c r="AQ444" s="32">
        <f t="shared" si="403"/>
        <v>23.4225641135211</v>
      </c>
      <c r="AR444" s="31">
        <f t="shared" si="404"/>
        <v>-43.4783674629257</v>
      </c>
      <c r="AS444" t="str">
        <f t="shared" si="380"/>
        <v>-0,000272527472527473</v>
      </c>
      <c r="AT444" t="str">
        <f t="shared" si="381"/>
        <v>0,25691114268036i</v>
      </c>
      <c r="AU444">
        <f t="shared" si="405"/>
        <v>0.25691114268036</v>
      </c>
      <c r="AV444">
        <f t="shared" si="406"/>
        <v>1.5707963267949</v>
      </c>
      <c r="AW444" t="str">
        <f t="shared" si="382"/>
        <v>1+13,1533792835135i</v>
      </c>
      <c r="AX444">
        <f t="shared" si="407"/>
        <v>13.19133755826</v>
      </c>
      <c r="AY444">
        <f t="shared" si="408"/>
        <v>1.49491620677683</v>
      </c>
      <c r="AZ444" t="str">
        <f t="shared" si="383"/>
        <v>1+628,843473405421i</v>
      </c>
      <c r="BA444">
        <f t="shared" si="409"/>
        <v>628.844268515341</v>
      </c>
      <c r="BB444">
        <f t="shared" si="410"/>
        <v>1.56920610728979</v>
      </c>
      <c r="BC444" s="30" t="str">
        <f t="shared" si="411"/>
        <v>-0,00375328762035358+0,0504292005762858i</v>
      </c>
      <c r="BD444" s="32">
        <f t="shared" si="412"/>
        <v>-25.9223675821948</v>
      </c>
      <c r="BE444" s="31">
        <f t="shared" si="413"/>
        <v>94.2564977598393</v>
      </c>
      <c r="BF444" s="30" t="str">
        <f t="shared" si="414"/>
        <v>0,00620461521041921-0,0329465985029128i</v>
      </c>
      <c r="BG444" s="68">
        <f t="shared" si="415"/>
        <v>-29.4924311552407</v>
      </c>
      <c r="BH444" s="31">
        <f t="shared" si="416"/>
        <v>-79.3347768341537</v>
      </c>
      <c r="BI444" s="30" t="str">
        <f t="shared" si="423"/>
        <v>0,474187623720407+0,580958579344757i</v>
      </c>
      <c r="BJ444" s="68">
        <f t="shared" si="417"/>
        <v>-2.49980346867372</v>
      </c>
      <c r="BK444" s="31">
        <f t="shared" si="424"/>
        <v>50.7781302969136</v>
      </c>
      <c r="BL444" s="32">
        <f t="shared" si="418"/>
        <v>-29.4924311552407</v>
      </c>
      <c r="BM444" s="31">
        <f t="shared" si="419"/>
        <v>-79.3347768341537</v>
      </c>
      <c r="BO444">
        <f t="shared" si="420"/>
        <v>0</v>
      </c>
      <c r="BP444">
        <f t="shared" si="421"/>
        <v>0</v>
      </c>
    </row>
    <row r="445" spans="14:68">
      <c r="N445" s="7">
        <v>27</v>
      </c>
      <c r="O445" s="18">
        <f t="shared" si="422"/>
        <v>186208.713666287</v>
      </c>
      <c r="P445" s="86" t="str">
        <f t="shared" si="372"/>
        <v>96,0576923076923</v>
      </c>
      <c r="Q445" s="4" t="str">
        <f t="shared" si="373"/>
        <v>1+1561,7484472761i</v>
      </c>
      <c r="R445" s="4">
        <f t="shared" si="384"/>
        <v>1561.74876743006</v>
      </c>
      <c r="S445" s="4">
        <f t="shared" si="385"/>
        <v>1.57015601889827</v>
      </c>
      <c r="T445" s="4" t="str">
        <f t="shared" si="374"/>
        <v>1+18,3453468272207i</v>
      </c>
      <c r="U445" s="4">
        <f t="shared" si="386"/>
        <v>18.3725814792319</v>
      </c>
      <c r="V445" s="4">
        <f t="shared" si="387"/>
        <v>1.51634048388681</v>
      </c>
      <c r="W445" t="str">
        <f t="shared" si="375"/>
        <v>1-8,70987980033864i</v>
      </c>
      <c r="X445" s="4">
        <f t="shared" si="388"/>
        <v>8.76709793126249</v>
      </c>
      <c r="Y445" s="4">
        <f t="shared" si="389"/>
        <v>-1.45648470504794</v>
      </c>
      <c r="Z445" t="str">
        <f t="shared" si="376"/>
        <v>0,716949509834664+14,9303909698387i</v>
      </c>
      <c r="AA445" s="4">
        <f t="shared" si="390"/>
        <v>14.9475948269912</v>
      </c>
      <c r="AB445" s="4">
        <f t="shared" si="391"/>
        <v>1.52281371144607</v>
      </c>
      <c r="AC445" s="67" t="str">
        <f t="shared" si="392"/>
        <v>-0,65889371372828-0,0717576283200533i</v>
      </c>
      <c r="AD445" s="68">
        <f t="shared" si="393"/>
        <v>-3.57248600637677</v>
      </c>
      <c r="AE445" s="31">
        <f t="shared" si="394"/>
        <v>-173.784628203511</v>
      </c>
      <c r="AF445" s="32" t="str">
        <f t="shared" si="395"/>
        <v>236,914774604583</v>
      </c>
      <c r="AG445" s="32" t="str">
        <f t="shared" si="377"/>
        <v>1+385,669223072253i</v>
      </c>
      <c r="AH445" s="32">
        <f t="shared" si="396"/>
        <v>385.670519517833</v>
      </c>
      <c r="AI445" s="32">
        <f t="shared" si="397"/>
        <v>1.56820343708748</v>
      </c>
      <c r="AJ445" s="32" t="str">
        <f t="shared" si="378"/>
        <v>1+18,3453468272207i</v>
      </c>
      <c r="AK445" s="32">
        <f t="shared" si="398"/>
        <v>18.3725814792319</v>
      </c>
      <c r="AL445" s="32">
        <f t="shared" si="399"/>
        <v>1.51634048388681</v>
      </c>
      <c r="AM445" s="32" t="str">
        <f t="shared" si="379"/>
        <v>1-0,872054476540725i</v>
      </c>
      <c r="AN445" s="32">
        <f t="shared" si="400"/>
        <v>1.32683043756718</v>
      </c>
      <c r="AO445" s="32">
        <f t="shared" si="401"/>
        <v>-0.717159301333708</v>
      </c>
      <c r="AP445" s="30" t="str">
        <f t="shared" si="402"/>
        <v>10,7607629724052-10,4139763708667i</v>
      </c>
      <c r="AQ445" s="32">
        <f t="shared" si="403"/>
        <v>23.5072262038094</v>
      </c>
      <c r="AR445" s="31">
        <f t="shared" si="404"/>
        <v>-44.061729536455</v>
      </c>
      <c r="AS445" t="str">
        <f t="shared" si="380"/>
        <v>-0,000272527472527473</v>
      </c>
      <c r="AT445" t="str">
        <f t="shared" si="381"/>
        <v>0,262895371943653i</v>
      </c>
      <c r="AU445">
        <f t="shared" si="405"/>
        <v>0.262895371943653</v>
      </c>
      <c r="AV445">
        <f t="shared" si="406"/>
        <v>1.5707963267949</v>
      </c>
      <c r="AW445" t="str">
        <f t="shared" si="382"/>
        <v>1+13,4597608456302i</v>
      </c>
      <c r="AX445">
        <f t="shared" si="407"/>
        <v>13.4968574868952</v>
      </c>
      <c r="AY445">
        <f t="shared" si="408"/>
        <v>1.49663705015289</v>
      </c>
      <c r="AZ445" t="str">
        <f t="shared" si="383"/>
        <v>1+643,491119577256i</v>
      </c>
      <c r="BA445">
        <f t="shared" si="409"/>
        <v>643.491896588287</v>
      </c>
      <c r="BB445">
        <f t="shared" si="410"/>
        <v>1.56924230504606</v>
      </c>
      <c r="BC445" s="30" t="str">
        <f t="shared" si="411"/>
        <v>-0,00358528917268399+0,0492937733590816i</v>
      </c>
      <c r="BD445" s="32">
        <f t="shared" si="412"/>
        <v>-26.121244644268</v>
      </c>
      <c r="BE445" s="31">
        <f t="shared" si="413"/>
        <v>94.1599746758505</v>
      </c>
      <c r="BF445" s="30" t="str">
        <f t="shared" si="414"/>
        <v>0,00589952876497347-0,0322220855443721i</v>
      </c>
      <c r="BG445" s="68">
        <f t="shared" si="415"/>
        <v>-29.6937306506447</v>
      </c>
      <c r="BH445" s="31">
        <f t="shared" si="416"/>
        <v>-79.6246535276605</v>
      </c>
      <c r="BI445" s="30" t="str">
        <f t="shared" si="423"/>
        <v>0,474763744017551+0,567775727859594i</v>
      </c>
      <c r="BJ445" s="68">
        <f t="shared" si="417"/>
        <v>-2.61401844045857</v>
      </c>
      <c r="BK445" s="31">
        <f t="shared" si="424"/>
        <v>50.0982451393954</v>
      </c>
      <c r="BL445" s="32">
        <f t="shared" si="418"/>
        <v>-29.6937306506447</v>
      </c>
      <c r="BM445" s="31">
        <f t="shared" si="419"/>
        <v>-79.6246535276605</v>
      </c>
      <c r="BO445">
        <f t="shared" si="420"/>
        <v>0</v>
      </c>
      <c r="BP445">
        <f t="shared" si="421"/>
        <v>0</v>
      </c>
    </row>
    <row r="446" spans="14:68">
      <c r="N446" s="7">
        <v>28</v>
      </c>
      <c r="O446" s="18">
        <f t="shared" si="422"/>
        <v>190546.071796325</v>
      </c>
      <c r="P446" s="86" t="str">
        <f t="shared" si="372"/>
        <v>96,0576923076923</v>
      </c>
      <c r="Q446" s="4" t="str">
        <f t="shared" si="373"/>
        <v>1+1598,12624180298i</v>
      </c>
      <c r="R446" s="4">
        <f t="shared" si="384"/>
        <v>1598.12655466935</v>
      </c>
      <c r="S446" s="4">
        <f t="shared" si="385"/>
        <v>1.57017059408159</v>
      </c>
      <c r="T446" s="4" t="str">
        <f t="shared" si="374"/>
        <v>1+18,7726648492549i</v>
      </c>
      <c r="U446" s="4">
        <f t="shared" si="386"/>
        <v>18.7992804527846</v>
      </c>
      <c r="V446" s="4">
        <f t="shared" si="387"/>
        <v>1.51757768388682</v>
      </c>
      <c r="W446" t="str">
        <f t="shared" si="375"/>
        <v>1-8,91275896329422i</v>
      </c>
      <c r="X446" s="4">
        <f t="shared" si="388"/>
        <v>8.96868286526965</v>
      </c>
      <c r="Y446" s="4">
        <f t="shared" si="389"/>
        <v>-1.45906490522644</v>
      </c>
      <c r="Z446" t="str">
        <f t="shared" si="376"/>
        <v>0,703609751208075+15,2781644514477i</v>
      </c>
      <c r="AA446" s="4">
        <f t="shared" si="390"/>
        <v>15.2943576421985</v>
      </c>
      <c r="AB446" s="4">
        <f t="shared" si="391"/>
        <v>1.5247755527986</v>
      </c>
      <c r="AC446" s="67" t="str">
        <f t="shared" si="392"/>
        <v>-0,658952147475317-0,0695515039936758i</v>
      </c>
      <c r="AD446" s="68">
        <f t="shared" si="393"/>
        <v>-3.574807320595</v>
      </c>
      <c r="AE446" s="31">
        <f t="shared" si="394"/>
        <v>-173.974816771688</v>
      </c>
      <c r="AF446" s="32" t="str">
        <f t="shared" si="395"/>
        <v>236,914774604583</v>
      </c>
      <c r="AG446" s="32" t="str">
        <f t="shared" si="377"/>
        <v>1+394,652613308199i</v>
      </c>
      <c r="AH446" s="32">
        <f t="shared" si="396"/>
        <v>394.653880243171</v>
      </c>
      <c r="AI446" s="32">
        <f t="shared" si="397"/>
        <v>1.5682624582074</v>
      </c>
      <c r="AJ446" s="32" t="str">
        <f t="shared" si="378"/>
        <v>1+18,7726648492549i</v>
      </c>
      <c r="AK446" s="32">
        <f t="shared" si="398"/>
        <v>18.7992804527846</v>
      </c>
      <c r="AL446" s="32">
        <f t="shared" si="399"/>
        <v>1.51757768388682</v>
      </c>
      <c r="AM446" s="32" t="str">
        <f t="shared" si="379"/>
        <v>1-0,892367234731184i</v>
      </c>
      <c r="AN446" s="32">
        <f t="shared" si="400"/>
        <v>1.34026836179244</v>
      </c>
      <c r="AO446" s="32">
        <f t="shared" si="401"/>
        <v>-0.728582063949482</v>
      </c>
      <c r="AP446" s="30" t="str">
        <f t="shared" si="402"/>
        <v>10,7606945409774-10,6295424002608i</v>
      </c>
      <c r="AQ446" s="32">
        <f t="shared" si="403"/>
        <v>23.5941752155557</v>
      </c>
      <c r="AR446" s="31">
        <f t="shared" si="404"/>
        <v>-44.6487009473783</v>
      </c>
      <c r="AS446" t="str">
        <f t="shared" si="380"/>
        <v>-0,000272527472527473</v>
      </c>
      <c r="AT446" t="str">
        <f t="shared" si="381"/>
        <v>0,269018991812982i</v>
      </c>
      <c r="AU446">
        <f t="shared" si="405"/>
        <v>0.269018991812982</v>
      </c>
      <c r="AV446">
        <f t="shared" si="406"/>
        <v>1.5707963267949</v>
      </c>
      <c r="AW446" t="str">
        <f t="shared" si="382"/>
        <v>1+13,7732789511083i</v>
      </c>
      <c r="AX446">
        <f t="shared" si="407"/>
        <v>13.809533412286</v>
      </c>
      <c r="AY446">
        <f t="shared" si="408"/>
        <v>1.49831914764599</v>
      </c>
      <c r="AZ446" t="str">
        <f t="shared" si="383"/>
        <v>1+658,479953258302i</v>
      </c>
      <c r="BA446">
        <f t="shared" si="409"/>
        <v>658.480712582423</v>
      </c>
      <c r="BB446">
        <f t="shared" si="410"/>
        <v>1.56927767884474</v>
      </c>
      <c r="BC446" s="30" t="str">
        <f t="shared" si="411"/>
        <v>-0,00342477073426847+0,0481833644251395i</v>
      </c>
      <c r="BD446" s="32">
        <f t="shared" si="412"/>
        <v>-26.3201719755211</v>
      </c>
      <c r="BE446" s="31">
        <f t="shared" si="413"/>
        <v>94.0656243581359</v>
      </c>
      <c r="BF446" s="30" t="str">
        <f t="shared" si="414"/>
        <v>0,00560798549320065-0,0315123335051296i</v>
      </c>
      <c r="BG446" s="68">
        <f t="shared" si="415"/>
        <v>-29.894979296116</v>
      </c>
      <c r="BH446" s="31">
        <f t="shared" si="416"/>
        <v>-79.9091924135521</v>
      </c>
      <c r="BI446" s="30" t="str">
        <f t="shared" si="423"/>
        <v>0,475314203399896+0,554890212266602i</v>
      </c>
      <c r="BJ446" s="68">
        <f t="shared" si="417"/>
        <v>-2.72599675996536</v>
      </c>
      <c r="BK446" s="31">
        <f t="shared" si="424"/>
        <v>49.4169234107576</v>
      </c>
      <c r="BL446" s="32">
        <f t="shared" si="418"/>
        <v>-29.894979296116</v>
      </c>
      <c r="BM446" s="31">
        <f t="shared" si="419"/>
        <v>-79.9091924135521</v>
      </c>
      <c r="BO446">
        <f t="shared" si="420"/>
        <v>0</v>
      </c>
      <c r="BP446">
        <f t="shared" si="421"/>
        <v>0</v>
      </c>
    </row>
    <row r="447" spans="14:68">
      <c r="N447" s="7">
        <v>29</v>
      </c>
      <c r="O447" s="18">
        <f t="shared" si="422"/>
        <v>194984.459975805</v>
      </c>
      <c r="P447" s="86" t="str">
        <f t="shared" si="372"/>
        <v>96,0576923076923</v>
      </c>
      <c r="Q447" s="4" t="str">
        <f t="shared" si="373"/>
        <v>1+1635,35138401696i</v>
      </c>
      <c r="R447" s="4">
        <f t="shared" si="384"/>
        <v>1635.35168976162</v>
      </c>
      <c r="S447" s="4">
        <f t="shared" si="385"/>
        <v>1.57018483749349</v>
      </c>
      <c r="T447" s="4" t="str">
        <f t="shared" si="374"/>
        <v>1+19,2099363866777i</v>
      </c>
      <c r="U447" s="4">
        <f t="shared" si="386"/>
        <v>19.2359469738353</v>
      </c>
      <c r="V447" s="4">
        <f t="shared" si="387"/>
        <v>1.51878687937274</v>
      </c>
      <c r="W447" t="str">
        <f t="shared" si="375"/>
        <v>1-9,1203637890264i</v>
      </c>
      <c r="X447" s="4">
        <f t="shared" si="388"/>
        <v>9.17502237840235</v>
      </c>
      <c r="Y447" s="4">
        <f t="shared" si="389"/>
        <v>-1.46158781724345</v>
      </c>
      <c r="Z447" t="str">
        <f t="shared" si="376"/>
        <v>0,689641309126072+15,6340386180793i</v>
      </c>
      <c r="AA447" s="4">
        <f t="shared" si="390"/>
        <v>15.6492417914367</v>
      </c>
      <c r="AB447" s="4">
        <f t="shared" si="391"/>
        <v>1.52671337804699</v>
      </c>
      <c r="AC447" s="67" t="str">
        <f t="shared" si="392"/>
        <v>-0,659006944273852-0,0673818783889209i</v>
      </c>
      <c r="AD447" s="68">
        <f t="shared" si="393"/>
        <v>-3.57703224869739</v>
      </c>
      <c r="AE447" s="31">
        <f t="shared" si="394"/>
        <v>-174.16193247995</v>
      </c>
      <c r="AF447" s="32" t="str">
        <f t="shared" si="395"/>
        <v>236,914774604583</v>
      </c>
      <c r="AG447" s="32" t="str">
        <f t="shared" si="377"/>
        <v>1+403,845253583564i</v>
      </c>
      <c r="AH447" s="32">
        <f t="shared" si="396"/>
        <v>403.846491679664</v>
      </c>
      <c r="AI447" s="32">
        <f t="shared" si="397"/>
        <v>1.56832013585967</v>
      </c>
      <c r="AJ447" s="32" t="str">
        <f t="shared" si="378"/>
        <v>1+19,2099363866777i</v>
      </c>
      <c r="AK447" s="32">
        <f t="shared" si="398"/>
        <v>19.2359469738353</v>
      </c>
      <c r="AL447" s="32">
        <f t="shared" si="399"/>
        <v>1.51878687937274</v>
      </c>
      <c r="AM447" s="32" t="str">
        <f t="shared" si="379"/>
        <v>1-0,91315313784137i</v>
      </c>
      <c r="AN447" s="32">
        <f t="shared" si="400"/>
        <v>1.3541966818559</v>
      </c>
      <c r="AO447" s="32">
        <f t="shared" si="401"/>
        <v>-0.74003468474972</v>
      </c>
      <c r="AP447" s="30" t="str">
        <f t="shared" si="402"/>
        <v>10,7606291894326-10,8507443381218i</v>
      </c>
      <c r="AQ447" s="32">
        <f t="shared" si="403"/>
        <v>23.6834229482057</v>
      </c>
      <c r="AR447" s="31">
        <f t="shared" si="404"/>
        <v>-45.2389106716932</v>
      </c>
      <c r="AS447" t="str">
        <f t="shared" si="380"/>
        <v>-0,000272527472527473</v>
      </c>
      <c r="AT447" t="str">
        <f t="shared" si="381"/>
        <v>0,275285249112658i</v>
      </c>
      <c r="AU447">
        <f t="shared" si="405"/>
        <v>0.275285249112658</v>
      </c>
      <c r="AV447">
        <f t="shared" si="406"/>
        <v>1.5707963267949</v>
      </c>
      <c r="AW447" t="str">
        <f t="shared" si="382"/>
        <v>1+14,094099831397i</v>
      </c>
      <c r="AX447">
        <f t="shared" si="407"/>
        <v>14.1295311336712</v>
      </c>
      <c r="AY447">
        <f t="shared" si="408"/>
        <v>1.49996335302983</v>
      </c>
      <c r="AZ447" t="str">
        <f t="shared" si="383"/>
        <v>1+673,817921726575i</v>
      </c>
      <c r="BA447">
        <f t="shared" si="409"/>
        <v>673.818663766388</v>
      </c>
      <c r="BB447">
        <f t="shared" si="410"/>
        <v>1.56931224744112</v>
      </c>
      <c r="BC447" s="30" t="str">
        <f t="shared" si="411"/>
        <v>-0,00327140273606694+0,0470974588635901i</v>
      </c>
      <c r="BD447" s="32">
        <f t="shared" si="412"/>
        <v>-26.5191473372218</v>
      </c>
      <c r="BE447" s="31">
        <f t="shared" si="413"/>
        <v>93.9733989636653</v>
      </c>
      <c r="BF447" s="30" t="str">
        <f t="shared" si="414"/>
        <v>0,00532939236615823-0,0308171191874351i</v>
      </c>
      <c r="BG447" s="68">
        <f t="shared" si="415"/>
        <v>-30.0961795859192</v>
      </c>
      <c r="BH447" s="31">
        <f t="shared" si="416"/>
        <v>-80.1885335162851</v>
      </c>
      <c r="BI447" s="30" t="str">
        <f t="shared" si="423"/>
        <v>0,475840133331913+0,542295445311743i</v>
      </c>
      <c r="BJ447" s="68">
        <f t="shared" si="417"/>
        <v>-2.83572438901612</v>
      </c>
      <c r="BK447" s="31">
        <f t="shared" si="424"/>
        <v>48.7344882919721</v>
      </c>
      <c r="BL447" s="32">
        <f t="shared" si="418"/>
        <v>-30.0961795859192</v>
      </c>
      <c r="BM447" s="31">
        <f t="shared" si="419"/>
        <v>-80.1885335162851</v>
      </c>
      <c r="BO447">
        <f t="shared" si="420"/>
        <v>0</v>
      </c>
      <c r="BP447">
        <f t="shared" si="421"/>
        <v>0</v>
      </c>
    </row>
    <row r="448" spans="14:68">
      <c r="N448" s="7">
        <v>30</v>
      </c>
      <c r="O448" s="18">
        <f t="shared" si="422"/>
        <v>199526.231496888</v>
      </c>
      <c r="P448" s="86" t="str">
        <f t="shared" si="372"/>
        <v>96,0576923076923</v>
      </c>
      <c r="Q448" s="4" t="str">
        <f t="shared" si="373"/>
        <v>1+1673,44361118119i</v>
      </c>
      <c r="R448" s="4">
        <f t="shared" si="384"/>
        <v>1673.44390996625</v>
      </c>
      <c r="S448" s="4">
        <f t="shared" si="385"/>
        <v>1.570198756686</v>
      </c>
      <c r="T448" s="4" t="str">
        <f t="shared" si="374"/>
        <v>1+19,6573932866464i</v>
      </c>
      <c r="U448" s="4">
        <f t="shared" si="386"/>
        <v>19.682812574068</v>
      </c>
      <c r="V448" s="4">
        <f t="shared" si="387"/>
        <v>1.51996869732376</v>
      </c>
      <c r="W448" t="str">
        <f t="shared" si="375"/>
        <v>1-9,33280435236187i</v>
      </c>
      <c r="X448" s="4">
        <f t="shared" si="388"/>
        <v>9.38622592309948</v>
      </c>
      <c r="Y448" s="4">
        <f t="shared" si="389"/>
        <v>-1.4640546502422</v>
      </c>
      <c r="Z448" t="str">
        <f t="shared" si="376"/>
        <v>0,675014554650205+15,9982021589273i</v>
      </c>
      <c r="AA448" s="4">
        <f t="shared" si="390"/>
        <v>16.0124363220247</v>
      </c>
      <c r="AB448" s="4">
        <f t="shared" si="391"/>
        <v>1.52862818766933</v>
      </c>
      <c r="AC448" s="67" t="str">
        <f t="shared" si="392"/>
        <v>-0,659058216975118-0,0652476290199255i</v>
      </c>
      <c r="AD448" s="68">
        <f t="shared" si="393"/>
        <v>-3.57916533571446</v>
      </c>
      <c r="AE448" s="31">
        <f t="shared" si="394"/>
        <v>-174.346066439712</v>
      </c>
      <c r="AF448" s="32" t="str">
        <f t="shared" si="395"/>
        <v>236,914774604583</v>
      </c>
      <c r="AG448" s="32" t="str">
        <f t="shared" si="377"/>
        <v>1+413,252017957906i</v>
      </c>
      <c r="AH448" s="32">
        <f t="shared" si="396"/>
        <v>413.253227871582</v>
      </c>
      <c r="AI448" s="32">
        <f t="shared" si="397"/>
        <v>1.5683765006242</v>
      </c>
      <c r="AJ448" s="32" t="str">
        <f t="shared" si="378"/>
        <v>1+19,6573932866464i</v>
      </c>
      <c r="AK448" s="32">
        <f t="shared" si="398"/>
        <v>19.682812574068</v>
      </c>
      <c r="AL448" s="32">
        <f t="shared" si="399"/>
        <v>1.51996869732376</v>
      </c>
      <c r="AM448" s="32" t="str">
        <f t="shared" si="379"/>
        <v>1-0,934423206832257i</v>
      </c>
      <c r="AN448" s="32">
        <f t="shared" si="400"/>
        <v>1.36862950774367</v>
      </c>
      <c r="AO448" s="32">
        <f t="shared" si="401"/>
        <v>-0.751511219806942</v>
      </c>
      <c r="AP448" s="30" t="str">
        <f t="shared" si="402"/>
        <v>10,7605667791564-11,0776994696873i</v>
      </c>
      <c r="AQ448" s="32">
        <f t="shared" si="403"/>
        <v>23.7749789395586</v>
      </c>
      <c r="AR448" s="31">
        <f t="shared" si="404"/>
        <v>-45.8319839762808</v>
      </c>
      <c r="AS448" t="str">
        <f t="shared" si="380"/>
        <v>-0,000272527472527473</v>
      </c>
      <c r="AT448" t="str">
        <f t="shared" si="381"/>
        <v>0,281697466295244i</v>
      </c>
      <c r="AU448">
        <f t="shared" si="405"/>
        <v>0.281697466295244</v>
      </c>
      <c r="AV448">
        <f t="shared" si="406"/>
        <v>1.5707963267949</v>
      </c>
      <c r="AW448" t="str">
        <f t="shared" si="382"/>
        <v>1+14,4223935899739i</v>
      </c>
      <c r="AX448">
        <f t="shared" si="407"/>
        <v>14.4570203314556</v>
      </c>
      <c r="AY448">
        <f t="shared" si="408"/>
        <v>1.50157050250424</v>
      </c>
      <c r="AZ448" t="str">
        <f t="shared" si="383"/>
        <v>1+689,513157375987i</v>
      </c>
      <c r="BA448">
        <f t="shared" si="409"/>
        <v>689.51388252493</v>
      </c>
      <c r="BB448">
        <f t="shared" si="410"/>
        <v>1.56934602916362</v>
      </c>
      <c r="BC448" s="30" t="str">
        <f t="shared" si="411"/>
        <v>-0,00312486982556691+0,0460355499104262i</v>
      </c>
      <c r="BD448" s="32">
        <f t="shared" si="412"/>
        <v>-26.7181685893234</v>
      </c>
      <c r="BE448" s="31">
        <f t="shared" si="413"/>
        <v>93.8832516318587</v>
      </c>
      <c r="BF448" s="30" t="str">
        <f t="shared" si="414"/>
        <v>0,00506318161780123-0,0301362170943204i</v>
      </c>
      <c r="BG448" s="68">
        <f t="shared" si="415"/>
        <v>-30.2973339250379</v>
      </c>
      <c r="BH448" s="31">
        <f t="shared" si="416"/>
        <v>-80.4628148078534</v>
      </c>
      <c r="BI448" s="30" t="str">
        <f t="shared" si="423"/>
        <v>0,476342616395308+0,529984977835853i</v>
      </c>
      <c r="BJ448" s="68">
        <f t="shared" si="417"/>
        <v>-2.94318964976481</v>
      </c>
      <c r="BK448" s="31">
        <f t="shared" si="424"/>
        <v>48.0512676555779</v>
      </c>
      <c r="BL448" s="32">
        <f t="shared" si="418"/>
        <v>-30.2973339250379</v>
      </c>
      <c r="BM448" s="31">
        <f t="shared" si="419"/>
        <v>-80.4628148078534</v>
      </c>
      <c r="BO448">
        <f t="shared" si="420"/>
        <v>0</v>
      </c>
      <c r="BP448">
        <f t="shared" si="421"/>
        <v>0</v>
      </c>
    </row>
    <row r="449" spans="14:68">
      <c r="N449" s="7">
        <v>31</v>
      </c>
      <c r="O449" s="18">
        <f t="shared" si="422"/>
        <v>204173.794466953</v>
      </c>
      <c r="P449" s="86" t="str">
        <f t="shared" si="372"/>
        <v>96,0576923076923</v>
      </c>
      <c r="Q449" s="4" t="str">
        <f t="shared" si="373"/>
        <v>1+1712,42312029871i</v>
      </c>
      <c r="R449" s="4">
        <f t="shared" si="384"/>
        <v>1712.4234122826</v>
      </c>
      <c r="S449" s="4">
        <f t="shared" si="385"/>
        <v>1.57021235903922</v>
      </c>
      <c r="T449" s="4" t="str">
        <f t="shared" si="374"/>
        <v>1+20,1152727967319i</v>
      </c>
      <c r="U449" s="4">
        <f t="shared" si="386"/>
        <v>20.1401141925001</v>
      </c>
      <c r="V449" s="4">
        <f t="shared" si="387"/>
        <v>1.52112375114282</v>
      </c>
      <c r="W449" t="str">
        <f t="shared" si="375"/>
        <v>1-9,55019329209919i</v>
      </c>
      <c r="X449" s="4">
        <f t="shared" si="388"/>
        <v>9.60240552759861</v>
      </c>
      <c r="Y449" s="4">
        <f t="shared" si="389"/>
        <v>-1.46646659201421</v>
      </c>
      <c r="Z449" t="str">
        <f t="shared" si="376"/>
        <v>0,659698462473196+16,3708481583211i</v>
      </c>
      <c r="AA449" s="4">
        <f t="shared" si="390"/>
        <v>16.3841347493298</v>
      </c>
      <c r="AB449" s="4">
        <f t="shared" si="391"/>
        <v>1.5305209716253</v>
      </c>
      <c r="AC449" s="67" t="str">
        <f t="shared" si="392"/>
        <v>-0,659106071260932-0,0631476505229136i</v>
      </c>
      <c r="AD449" s="68">
        <f t="shared" si="393"/>
        <v>-3.58121094693348</v>
      </c>
      <c r="AE449" s="31">
        <f t="shared" si="394"/>
        <v>-174.527308704376</v>
      </c>
      <c r="AF449" s="32" t="str">
        <f t="shared" si="395"/>
        <v>236,914774604583</v>
      </c>
      <c r="AG449" s="32" t="str">
        <f t="shared" si="377"/>
        <v>1+422,877894022204i</v>
      </c>
      <c r="AH449" s="32">
        <f t="shared" si="396"/>
        <v>422.87907639496</v>
      </c>
      <c r="AI449" s="32">
        <f t="shared" si="397"/>
        <v>1.56843158238491</v>
      </c>
      <c r="AJ449" s="32" t="str">
        <f t="shared" si="378"/>
        <v>1+20,1152727967319i</v>
      </c>
      <c r="AK449" s="32">
        <f t="shared" si="398"/>
        <v>20.1401141925001</v>
      </c>
      <c r="AL449" s="32">
        <f t="shared" si="399"/>
        <v>1.52112375114282</v>
      </c>
      <c r="AM449" s="32" t="str">
        <f t="shared" si="379"/>
        <v>1-0,956188719375955i</v>
      </c>
      <c r="AN449" s="32">
        <f t="shared" si="400"/>
        <v>1.38358117472804</v>
      </c>
      <c r="AO449" s="32">
        <f t="shared" si="401"/>
        <v>-0.763005662475584</v>
      </c>
      <c r="AP449" s="30" t="str">
        <f t="shared" si="402"/>
        <v>10,7605071777733-11,3105281305445i</v>
      </c>
      <c r="AQ449" s="32">
        <f t="shared" si="403"/>
        <v>23.8688504187749</v>
      </c>
      <c r="AR449" s="31">
        <f t="shared" si="404"/>
        <v>-46.4275432725236</v>
      </c>
      <c r="AS449" t="str">
        <f t="shared" si="380"/>
        <v>-0,000272527472527473</v>
      </c>
      <c r="AT449" t="str">
        <f t="shared" si="381"/>
        <v>0,288259043203168i</v>
      </c>
      <c r="AU449">
        <f t="shared" si="405"/>
        <v>0.288259043203168</v>
      </c>
      <c r="AV449">
        <f t="shared" si="406"/>
        <v>1.5707963267949</v>
      </c>
      <c r="AW449" t="str">
        <f t="shared" si="382"/>
        <v>1+14,7583342925352i</v>
      </c>
      <c r="AX449">
        <f t="shared" si="407"/>
        <v>14.7921746572375</v>
      </c>
      <c r="AY449">
        <f t="shared" si="408"/>
        <v>1.50314141497324</v>
      </c>
      <c r="AZ449" t="str">
        <f t="shared" si="383"/>
        <v>1+705,573982028222i</v>
      </c>
      <c r="BA449">
        <f t="shared" si="409"/>
        <v>705.574690670776</v>
      </c>
      <c r="BB449">
        <f t="shared" si="410"/>
        <v>1.56937904192342</v>
      </c>
      <c r="BC449" s="30" t="str">
        <f t="shared" si="411"/>
        <v>-0,00298487028028103+0,0449971389942176i</v>
      </c>
      <c r="BD449" s="32">
        <f t="shared" si="412"/>
        <v>-26.9172336862031</v>
      </c>
      <c r="BE449" s="31">
        <f t="shared" si="413"/>
        <v>93.7951364692072</v>
      </c>
      <c r="BF449" s="30" t="str">
        <f t="shared" si="414"/>
        <v>0,00480880973139737-0,0294693999551454i</v>
      </c>
      <c r="BG449" s="68">
        <f t="shared" si="415"/>
        <v>-30.4984446331366</v>
      </c>
      <c r="BH449" s="31">
        <f t="shared" si="416"/>
        <v>-80.7321722351685</v>
      </c>
      <c r="BI449" s="30" t="str">
        <f t="shared" si="423"/>
        <v>0,476822688312433+0,517952496397686i</v>
      </c>
      <c r="BJ449" s="68">
        <f t="shared" si="417"/>
        <v>-3.04838326742817</v>
      </c>
      <c r="BK449" s="31">
        <f t="shared" si="424"/>
        <v>47.3675931966836</v>
      </c>
      <c r="BL449" s="32">
        <f t="shared" si="418"/>
        <v>-30.4984446331366</v>
      </c>
      <c r="BM449" s="31">
        <f t="shared" si="419"/>
        <v>-80.7321722351685</v>
      </c>
      <c r="BO449">
        <f t="shared" si="420"/>
        <v>0</v>
      </c>
      <c r="BP449">
        <f t="shared" si="421"/>
        <v>0</v>
      </c>
    </row>
    <row r="450" spans="14:68">
      <c r="N450" s="7">
        <v>32</v>
      </c>
      <c r="O450" s="18">
        <f t="shared" si="422"/>
        <v>208929.613085404</v>
      </c>
      <c r="P450" s="86" t="str">
        <f t="shared" si="372"/>
        <v>96,0576923076923</v>
      </c>
      <c r="Q450" s="4" t="str">
        <f t="shared" si="373"/>
        <v>1+1752,31057882122i</v>
      </c>
      <c r="R450" s="4">
        <f t="shared" si="384"/>
        <v>1752.31086415874</v>
      </c>
      <c r="S450" s="4">
        <f t="shared" si="385"/>
        <v>1.57022565176529</v>
      </c>
      <c r="T450" s="4" t="str">
        <f t="shared" si="374"/>
        <v>1+20,5838176907116i</v>
      </c>
      <c r="U450" s="4">
        <f t="shared" si="386"/>
        <v>20.6080943011345</v>
      </c>
      <c r="V450" s="4">
        <f t="shared" si="387"/>
        <v>1.52225264091962</v>
      </c>
      <c r="W450" t="str">
        <f t="shared" si="375"/>
        <v>1-9,77264587073183i</v>
      </c>
      <c r="X450" s="4">
        <f t="shared" si="388"/>
        <v>9.82367585554063</v>
      </c>
      <c r="Y450" s="4">
        <f t="shared" si="389"/>
        <v>-1.46882480909066</v>
      </c>
      <c r="Z450" t="str">
        <f t="shared" si="376"/>
        <v>0,643660545110065+16,7521741981023i</v>
      </c>
      <c r="AA450" s="4">
        <f t="shared" si="390"/>
        <v>16.7645351638778</v>
      </c>
      <c r="AB450" s="4">
        <f t="shared" si="391"/>
        <v>1.53239270976279</v>
      </c>
      <c r="AC450" s="67" t="str">
        <f t="shared" si="392"/>
        <v>-0,659150605842342-0,0610808541911947i</v>
      </c>
      <c r="AD450" s="68">
        <f t="shared" si="393"/>
        <v>-3.58317327585906</v>
      </c>
      <c r="AE450" s="31">
        <f t="shared" si="394"/>
        <v>-174.70574828302</v>
      </c>
      <c r="AF450" s="32" t="str">
        <f t="shared" si="395"/>
        <v>236,914774604583</v>
      </c>
      <c r="AG450" s="32" t="str">
        <f t="shared" si="377"/>
        <v>1+432,727985543367i</v>
      </c>
      <c r="AH450" s="32">
        <f t="shared" si="396"/>
        <v>432.729141002106</v>
      </c>
      <c r="AI450" s="32">
        <f t="shared" si="397"/>
        <v>1.56848541034554</v>
      </c>
      <c r="AJ450" s="32" t="str">
        <f t="shared" si="378"/>
        <v>1+20,5838176907116i</v>
      </c>
      <c r="AK450" s="32">
        <f t="shared" si="398"/>
        <v>20.6080943011345</v>
      </c>
      <c r="AL450" s="32">
        <f t="shared" si="399"/>
        <v>1.52225264091962</v>
      </c>
      <c r="AM450" s="32" t="str">
        <f t="shared" si="379"/>
        <v>1-0,978461215835329i</v>
      </c>
      <c r="AN450" s="32">
        <f t="shared" si="400"/>
        <v>1.39906624249674</v>
      </c>
      <c r="AO450" s="32">
        <f t="shared" si="401"/>
        <v>-0.774511958939277</v>
      </c>
      <c r="AP450" s="30" t="str">
        <f t="shared" si="402"/>
        <v>10,760450258865-11,5493537704389i</v>
      </c>
      <c r="AQ450" s="32">
        <f t="shared" si="403"/>
        <v>23.9650422691104</v>
      </c>
      <c r="AR450" s="31">
        <f t="shared" si="404"/>
        <v>-47.0252089929372</v>
      </c>
      <c r="AS450" t="str">
        <f t="shared" si="380"/>
        <v>-0,000272527472527473</v>
      </c>
      <c r="AT450" t="str">
        <f t="shared" si="381"/>
        <v>0,294973458871357i</v>
      </c>
      <c r="AU450">
        <f t="shared" si="405"/>
        <v>0.294973458871357</v>
      </c>
      <c r="AV450">
        <f t="shared" si="406"/>
        <v>1.5707963267949</v>
      </c>
      <c r="AW450" t="str">
        <f t="shared" si="382"/>
        <v>1+15,1021000592881i</v>
      </c>
      <c r="AX450">
        <f t="shared" si="407"/>
        <v>15.1351718259407</v>
      </c>
      <c r="AY450">
        <f t="shared" si="408"/>
        <v>1.50467689232484</v>
      </c>
      <c r="AZ450" t="str">
        <f t="shared" si="383"/>
        <v>1+722,008911345111i</v>
      </c>
      <c r="BA450">
        <f t="shared" si="409"/>
        <v>722.009603857007</v>
      </c>
      <c r="BB450">
        <f t="shared" si="410"/>
        <v>1.56941130322406</v>
      </c>
      <c r="BC450" s="30" t="str">
        <f t="shared" si="411"/>
        <v>-0,00285111544306219+0,0439817357661493i</v>
      </c>
      <c r="BD450" s="32">
        <f t="shared" si="412"/>
        <v>-27.116340672577</v>
      </c>
      <c r="BE450" s="31">
        <f t="shared" si="413"/>
        <v>93.7090085337905</v>
      </c>
      <c r="BF450" s="30" t="str">
        <f t="shared" si="414"/>
        <v>0,00456575646102872-0,0288164392095952i</v>
      </c>
      <c r="BG450" s="68">
        <f t="shared" si="415"/>
        <v>-30.6995139484361</v>
      </c>
      <c r="BH450" s="31">
        <f t="shared" si="416"/>
        <v>-80.9967397492293</v>
      </c>
      <c r="BI450" s="30" t="str">
        <f t="shared" si="423"/>
        <v>0,477281339893871+0,50619182090248i</v>
      </c>
      <c r="BJ450" s="68">
        <f t="shared" si="417"/>
        <v>-3.15129840346659</v>
      </c>
      <c r="BK450" s="31">
        <f t="shared" si="424"/>
        <v>46.6837995408533</v>
      </c>
      <c r="BL450" s="32">
        <f t="shared" si="418"/>
        <v>-30.6995139484361</v>
      </c>
      <c r="BM450" s="31">
        <f t="shared" si="419"/>
        <v>-80.9967397492293</v>
      </c>
      <c r="BO450">
        <f t="shared" si="420"/>
        <v>0</v>
      </c>
      <c r="BP450">
        <f t="shared" si="421"/>
        <v>0</v>
      </c>
    </row>
    <row r="451" spans="14:68">
      <c r="N451" s="7">
        <v>33</v>
      </c>
      <c r="O451" s="18">
        <f t="shared" si="422"/>
        <v>213796.208950223</v>
      </c>
      <c r="P451" s="86" t="str">
        <f t="shared" si="372"/>
        <v>96,0576923076923</v>
      </c>
      <c r="Q451" s="4" t="str">
        <f t="shared" si="373"/>
        <v>1+1793,12713560718i</v>
      </c>
      <c r="R451" s="4">
        <f t="shared" si="384"/>
        <v>1793.12741444963</v>
      </c>
      <c r="S451" s="4">
        <f t="shared" si="385"/>
        <v>1.57023864191217</v>
      </c>
      <c r="T451" s="4" t="str">
        <f t="shared" si="374"/>
        <v>1+21,0632763972897i</v>
      </c>
      <c r="U451" s="4">
        <f t="shared" si="386"/>
        <v>21.0870010335425</v>
      </c>
      <c r="V451" s="4">
        <f t="shared" si="387"/>
        <v>1.52335595369073</v>
      </c>
      <c r="W451" t="str">
        <f t="shared" si="375"/>
        <v>1-10,0002800355613i</v>
      </c>
      <c r="X451" s="4">
        <f t="shared" si="388"/>
        <v>10.0501542669576</v>
      </c>
      <c r="Y451" s="4">
        <f t="shared" si="389"/>
        <v>-1.47113044685618</v>
      </c>
      <c r="Z451" t="str">
        <f t="shared" si="376"/>
        <v>0,626866783987854+17,1423824623845i</v>
      </c>
      <c r="AA451" s="4">
        <f t="shared" si="390"/>
        <v>17.1538403412045</v>
      </c>
      <c r="AB451" s="4">
        <f t="shared" si="391"/>
        <v>1.53424437222638</v>
      </c>
      <c r="AC451" s="67" t="str">
        <f t="shared" si="392"/>
        <v>-0,659191912645679-0,0590461675122163i</v>
      </c>
      <c r="AD451" s="68">
        <f t="shared" si="393"/>
        <v>-3.58505635192095</v>
      </c>
      <c r="AE451" s="31">
        <f t="shared" si="394"/>
        <v>-174.88147315564</v>
      </c>
      <c r="AF451" s="32" t="str">
        <f t="shared" si="395"/>
        <v>236,914774604583</v>
      </c>
      <c r="AG451" s="32" t="str">
        <f t="shared" si="377"/>
        <v>1+442,807515170294i</v>
      </c>
      <c r="AH451" s="32">
        <f t="shared" si="396"/>
        <v>442.808644327649</v>
      </c>
      <c r="AI451" s="32">
        <f t="shared" si="397"/>
        <v>1.56853801304514</v>
      </c>
      <c r="AJ451" s="32" t="str">
        <f t="shared" si="378"/>
        <v>1+21,0632763972897i</v>
      </c>
      <c r="AK451" s="32">
        <f t="shared" si="398"/>
        <v>21.0870010335425</v>
      </c>
      <c r="AL451" s="32">
        <f t="shared" si="399"/>
        <v>1.52335595369073</v>
      </c>
      <c r="AM451" s="32" t="str">
        <f t="shared" si="379"/>
        <v>1-1,0012525053828i</v>
      </c>
      <c r="AN451" s="32">
        <f t="shared" si="400"/>
        <v>1.41509949457108</v>
      </c>
      <c r="AO451" s="32">
        <f t="shared" si="401"/>
        <v>-0.786024024060156</v>
      </c>
      <c r="AP451" s="30" t="str">
        <f t="shared" si="402"/>
        <v>10,7603959017028-11,7943030187329i</v>
      </c>
      <c r="AQ451" s="32">
        <f t="shared" si="403"/>
        <v>24.0635570006825</v>
      </c>
      <c r="AR451" s="31">
        <f t="shared" si="404"/>
        <v>-47.6246004852531</v>
      </c>
      <c r="AS451" t="str">
        <f t="shared" si="380"/>
        <v>-0,000272527472527473</v>
      </c>
      <c r="AT451" t="str">
        <f t="shared" si="381"/>
        <v>0,301844273371874i</v>
      </c>
      <c r="AU451">
        <f t="shared" si="405"/>
        <v>0.301844273371874</v>
      </c>
      <c r="AV451">
        <f t="shared" si="406"/>
        <v>1.5707963267949</v>
      </c>
      <c r="AW451" t="str">
        <f t="shared" si="382"/>
        <v>1+15,4538731593922i</v>
      </c>
      <c r="AX451">
        <f t="shared" si="407"/>
        <v>15.4861937100949</v>
      </c>
      <c r="AY451">
        <f t="shared" si="408"/>
        <v>1.50617771971171</v>
      </c>
      <c r="AZ451" t="str">
        <f t="shared" si="383"/>
        <v>1+738,826659343706i</v>
      </c>
      <c r="BA451">
        <f t="shared" si="409"/>
        <v>738.827336092121</v>
      </c>
      <c r="BB451">
        <f t="shared" si="410"/>
        <v>1.56944283017062</v>
      </c>
      <c r="BC451" s="30" t="str">
        <f t="shared" si="411"/>
        <v>-0,00272332917864309+0,042988858115625i</v>
      </c>
      <c r="BD451" s="32">
        <f t="shared" si="412"/>
        <v>-27.3154876795856</v>
      </c>
      <c r="BE451" s="31">
        <f t="shared" si="413"/>
        <v>93.6248238197242</v>
      </c>
      <c r="BF451" s="30" t="str">
        <f t="shared" si="414"/>
        <v>0,00433352388748762-0,0281771054528195i</v>
      </c>
      <c r="BG451" s="68">
        <f t="shared" si="415"/>
        <v>-30.9005440315066</v>
      </c>
      <c r="BH451" s="31">
        <f t="shared" si="416"/>
        <v>-81.2566493359159</v>
      </c>
      <c r="BI451" s="30" t="str">
        <f t="shared" si="423"/>
        <v>0,477719518912137+0,494696902238928i</v>
      </c>
      <c r="BJ451" s="68">
        <f t="shared" si="417"/>
        <v>-3.25193067890319</v>
      </c>
      <c r="BK451" s="31">
        <f t="shared" si="424"/>
        <v>46.0002233344711</v>
      </c>
      <c r="BL451" s="32">
        <f t="shared" si="418"/>
        <v>-30.9005440315066</v>
      </c>
      <c r="BM451" s="31">
        <f t="shared" si="419"/>
        <v>-81.2566493359159</v>
      </c>
      <c r="BO451">
        <f t="shared" si="420"/>
        <v>0</v>
      </c>
      <c r="BP451">
        <f t="shared" si="421"/>
        <v>0</v>
      </c>
    </row>
    <row r="452" spans="14:68">
      <c r="N452" s="7">
        <v>34</v>
      </c>
      <c r="O452" s="18">
        <f t="shared" si="422"/>
        <v>218776.162394955</v>
      </c>
      <c r="P452" s="86" t="str">
        <f t="shared" si="372"/>
        <v>96,0576923076923</v>
      </c>
      <c r="Q452" s="4" t="str">
        <f t="shared" si="373"/>
        <v>1+1834,89443213529i</v>
      </c>
      <c r="R452" s="4">
        <f t="shared" si="384"/>
        <v>1834.89470463051</v>
      </c>
      <c r="S452" s="4">
        <f t="shared" si="385"/>
        <v>1.57025133636739</v>
      </c>
      <c r="T452" s="4" t="str">
        <f t="shared" si="374"/>
        <v>1+21,5539031318192i</v>
      </c>
      <c r="U452" s="4">
        <f t="shared" si="386"/>
        <v>21.5770883164491</v>
      </c>
      <c r="V452" s="4">
        <f t="shared" si="387"/>
        <v>1.5244342636966</v>
      </c>
      <c r="W452" t="str">
        <f t="shared" si="375"/>
        <v>1-10,233216481235i</v>
      </c>
      <c r="X452" s="4">
        <f t="shared" si="388"/>
        <v>10.2819608806793</v>
      </c>
      <c r="Y452" s="4">
        <f t="shared" si="389"/>
        <v>-1.4733846296832</v>
      </c>
      <c r="Z452" t="str">
        <f t="shared" si="376"/>
        <v>0,609281557287639+17,5416798447546i</v>
      </c>
      <c r="AA452" s="4">
        <f t="shared" si="390"/>
        <v>17.5522578545303</v>
      </c>
      <c r="AB452" s="4">
        <f t="shared" si="391"/>
        <v>1.53607691986734</v>
      </c>
      <c r="AC452" s="67" t="str">
        <f t="shared" si="392"/>
        <v>-0,659230076986487-0,0570425337069172i</v>
      </c>
      <c r="AD452" s="68">
        <f t="shared" si="393"/>
        <v>-3.58686404793259</v>
      </c>
      <c r="AE452" s="31">
        <f t="shared" si="394"/>
        <v>-175.054570289827</v>
      </c>
      <c r="AF452" s="32" t="str">
        <f t="shared" si="395"/>
        <v>236,914774604583</v>
      </c>
      <c r="AG452" s="32" t="str">
        <f t="shared" si="377"/>
        <v>1+453,121827203016i</v>
      </c>
      <c r="AH452" s="32">
        <f t="shared" si="396"/>
        <v>453.122930657675</v>
      </c>
      <c r="AI452" s="32">
        <f t="shared" si="397"/>
        <v>1.56858941837318</v>
      </c>
      <c r="AJ452" s="32" t="str">
        <f t="shared" si="378"/>
        <v>1+21,5539031318192i</v>
      </c>
      <c r="AK452" s="32">
        <f t="shared" si="398"/>
        <v>21.5770883164491</v>
      </c>
      <c r="AL452" s="32">
        <f t="shared" si="399"/>
        <v>1.5244342636966</v>
      </c>
      <c r="AM452" s="32" t="str">
        <f t="shared" si="379"/>
        <v>1-1,02457467226176i</v>
      </c>
      <c r="AN452" s="32">
        <f t="shared" si="400"/>
        <v>1.43169593805399</v>
      </c>
      <c r="AO452" s="32">
        <f t="shared" si="401"/>
        <v>-0.797535757429718</v>
      </c>
      <c r="AP452" s="30" t="str">
        <f t="shared" si="402"/>
        <v>10,7603439909915-12,0455057515508i</v>
      </c>
      <c r="AQ452" s="32">
        <f t="shared" si="403"/>
        <v>24.1643947334879</v>
      </c>
      <c r="AR452" s="31">
        <f t="shared" si="404"/>
        <v>-48.2253369182075</v>
      </c>
      <c r="AS452" t="str">
        <f t="shared" si="380"/>
        <v>-0,000272527472527473</v>
      </c>
      <c r="AT452" t="str">
        <f t="shared" si="381"/>
        <v>0,308875129701515i</v>
      </c>
      <c r="AU452">
        <f t="shared" si="405"/>
        <v>0.308875129701515</v>
      </c>
      <c r="AV452">
        <f t="shared" si="406"/>
        <v>1.5707963267949</v>
      </c>
      <c r="AW452" t="str">
        <f t="shared" si="382"/>
        <v>1+15,8138401076017i</v>
      </c>
      <c r="AX452">
        <f t="shared" si="407"/>
        <v>15.8454264363188</v>
      </c>
      <c r="AY452">
        <f t="shared" si="408"/>
        <v>1.50764466583246</v>
      </c>
      <c r="AZ452" t="str">
        <f t="shared" si="383"/>
        <v>1+756,036143016615i</v>
      </c>
      <c r="BA452">
        <f t="shared" si="409"/>
        <v>756.03680436037</v>
      </c>
      <c r="BB452">
        <f t="shared" si="410"/>
        <v>1.56947363947886</v>
      </c>
      <c r="BC452" s="30" t="str">
        <f t="shared" si="411"/>
        <v>-0,00260124735080076+0,0420180321726165i</v>
      </c>
      <c r="BD452" s="32">
        <f t="shared" si="412"/>
        <v>-27.514672921041</v>
      </c>
      <c r="BE452" s="31">
        <f t="shared" si="413"/>
        <v>93.5425392415642</v>
      </c>
      <c r="BF452" s="30" t="str">
        <f t="shared" si="414"/>
        <v>0,00411163550783409-0,0275511688442866i</v>
      </c>
      <c r="BG452" s="68">
        <f t="shared" si="415"/>
        <v>-31.1015369689736</v>
      </c>
      <c r="BH452" s="31">
        <f t="shared" si="416"/>
        <v>-81.5120310482632</v>
      </c>
      <c r="BI452" s="30" t="str">
        <f t="shared" si="423"/>
        <v>0,478138131903827+0,483461819927178i</v>
      </c>
      <c r="BJ452" s="68">
        <f t="shared" si="417"/>
        <v>-3.35027818755317</v>
      </c>
      <c r="BK452" s="31">
        <f t="shared" si="424"/>
        <v>45.3172023233566</v>
      </c>
      <c r="BL452" s="32">
        <f t="shared" si="418"/>
        <v>-31.1015369689736</v>
      </c>
      <c r="BM452" s="31">
        <f t="shared" si="419"/>
        <v>-81.5120310482632</v>
      </c>
      <c r="BO452">
        <f t="shared" si="420"/>
        <v>0</v>
      </c>
      <c r="BP452">
        <f t="shared" si="421"/>
        <v>0</v>
      </c>
    </row>
    <row r="453" spans="14:68">
      <c r="N453" s="7">
        <v>35</v>
      </c>
      <c r="O453" s="18">
        <f t="shared" si="422"/>
        <v>223872.113856834</v>
      </c>
      <c r="P453" s="86" t="str">
        <f t="shared" si="372"/>
        <v>96,0576923076923</v>
      </c>
      <c r="Q453" s="4" t="str">
        <f t="shared" si="373"/>
        <v>1+1877,63461397901i</v>
      </c>
      <c r="R453" s="4">
        <f t="shared" si="384"/>
        <v>1877.63488027148</v>
      </c>
      <c r="S453" s="4">
        <f t="shared" si="385"/>
        <v>1.5702637418617</v>
      </c>
      <c r="T453" s="4" t="str">
        <f t="shared" si="374"/>
        <v>1+22,0559580310887i</v>
      </c>
      <c r="U453" s="4">
        <f t="shared" si="386"/>
        <v>22.0786160043864</v>
      </c>
      <c r="V453" s="4">
        <f t="shared" si="387"/>
        <v>1.5254881326353</v>
      </c>
      <c r="W453" t="str">
        <f t="shared" si="375"/>
        <v>1-10,4715787137397i</v>
      </c>
      <c r="X453" s="4">
        <f t="shared" si="388"/>
        <v>10.5192186381901</v>
      </c>
      <c r="Y453" s="4">
        <f t="shared" si="389"/>
        <v>-1.47558846108481</v>
      </c>
      <c r="Z453" t="str">
        <f t="shared" si="376"/>
        <v>0,5908675643859+17,9502780579698i</v>
      </c>
      <c r="AA453" s="4">
        <f t="shared" si="390"/>
        <v>17.9600001903417</v>
      </c>
      <c r="AB453" s="4">
        <f t="shared" si="391"/>
        <v>1.53789130465504</v>
      </c>
      <c r="AC453" s="67" t="str">
        <f t="shared" si="392"/>
        <v>-0,659265177731247-0,0550689112716133i</v>
      </c>
      <c r="AD453" s="68">
        <f t="shared" si="393"/>
        <v>-3.5886000873116</v>
      </c>
      <c r="AE453" s="31">
        <f t="shared" si="394"/>
        <v>-175.225125658766</v>
      </c>
      <c r="AF453" s="32" t="str">
        <f t="shared" si="395"/>
        <v>236,914774604583</v>
      </c>
      <c r="AG453" s="32" t="str">
        <f t="shared" si="377"/>
        <v>1+463,676390426295i</v>
      </c>
      <c r="AH453" s="32">
        <f t="shared" si="396"/>
        <v>463.677468763318</v>
      </c>
      <c r="AI453" s="32">
        <f t="shared" si="397"/>
        <v>1.56863965358437</v>
      </c>
      <c r="AJ453" s="32" t="str">
        <f t="shared" si="378"/>
        <v>1+22,0559580310887i</v>
      </c>
      <c r="AK453" s="32">
        <f t="shared" si="398"/>
        <v>22.0786160043864</v>
      </c>
      <c r="AL453" s="32">
        <f t="shared" si="399"/>
        <v>1.5254881326353</v>
      </c>
      <c r="AM453" s="32" t="str">
        <f t="shared" si="379"/>
        <v>1-1,04844008219381i</v>
      </c>
      <c r="AN453" s="32">
        <f t="shared" si="400"/>
        <v>1.44887080374703</v>
      </c>
      <c r="AO453" s="32">
        <f t="shared" si="401"/>
        <v>-0.809041059518175</v>
      </c>
      <c r="AP453" s="30" t="str">
        <f t="shared" si="402"/>
        <v>10,7602944166248-12,3030951606443i</v>
      </c>
      <c r="AQ453" s="32">
        <f t="shared" si="403"/>
        <v>24.2675531908029</v>
      </c>
      <c r="AR453" s="31">
        <f t="shared" si="404"/>
        <v>-48.8270381931361</v>
      </c>
      <c r="AS453" t="str">
        <f t="shared" si="380"/>
        <v>-0,000272527472527473</v>
      </c>
      <c r="AT453" t="str">
        <f t="shared" si="381"/>
        <v>0,31606975571337i</v>
      </c>
      <c r="AU453">
        <f t="shared" si="405"/>
        <v>0.31606975571337</v>
      </c>
      <c r="AV453">
        <f t="shared" si="406"/>
        <v>1.5707963267949</v>
      </c>
      <c r="AW453" t="str">
        <f t="shared" si="382"/>
        <v>1+16,182191763157i</v>
      </c>
      <c r="AX453">
        <f t="shared" si="407"/>
        <v>16.2130604840538</v>
      </c>
      <c r="AY453">
        <f t="shared" si="408"/>
        <v>1.50907848321297</v>
      </c>
      <c r="AZ453" t="str">
        <f t="shared" si="383"/>
        <v>1+773,646487059869i</v>
      </c>
      <c r="BA453">
        <f t="shared" si="409"/>
        <v>773.647133349614</v>
      </c>
      <c r="BB453">
        <f t="shared" si="410"/>
        <v>1.56950374748405</v>
      </c>
      <c r="BC453" s="30" t="str">
        <f t="shared" si="411"/>
        <v>-0,00248461731954452+0,0410687922978499i</v>
      </c>
      <c r="BD453" s="32">
        <f t="shared" si="412"/>
        <v>-27.7138946898317</v>
      </c>
      <c r="BE453" s="31">
        <f t="shared" si="413"/>
        <v>93.4621126186956</v>
      </c>
      <c r="BF453" s="30" t="str">
        <f t="shared" si="414"/>
        <v>0,00389963535784626-0,0269383994827358i</v>
      </c>
      <c r="BG453" s="68">
        <f t="shared" si="415"/>
        <v>-31.3024947771433</v>
      </c>
      <c r="BH453" s="31">
        <f t="shared" si="416"/>
        <v>-81.7630130400702</v>
      </c>
      <c r="BI453" s="30" t="str">
        <f t="shared" si="423"/>
        <v>0,478538045902239+0,472480779780219i</v>
      </c>
      <c r="BJ453" s="68">
        <f t="shared" si="417"/>
        <v>-3.44634149902882</v>
      </c>
      <c r="BK453" s="31">
        <f t="shared" si="424"/>
        <v>44.6350744255595</v>
      </c>
      <c r="BL453" s="32">
        <f t="shared" si="418"/>
        <v>-31.3024947771433</v>
      </c>
      <c r="BM453" s="31">
        <f t="shared" si="419"/>
        <v>-81.7630130400702</v>
      </c>
      <c r="BO453">
        <f t="shared" si="420"/>
        <v>0</v>
      </c>
      <c r="BP453">
        <f t="shared" si="421"/>
        <v>0</v>
      </c>
    </row>
    <row r="454" spans="14:68">
      <c r="N454" s="7">
        <v>36</v>
      </c>
      <c r="O454" s="18">
        <f t="shared" si="422"/>
        <v>229086.765276778</v>
      </c>
      <c r="P454" s="86" t="str">
        <f t="shared" si="372"/>
        <v>96,0576923076923</v>
      </c>
      <c r="Q454" s="4" t="str">
        <f t="shared" si="373"/>
        <v>1+1921,37034254851i</v>
      </c>
      <c r="R454" s="4">
        <f t="shared" si="384"/>
        <v>1921.37060277943</v>
      </c>
      <c r="S454" s="4">
        <f t="shared" si="385"/>
        <v>1.57027586497264</v>
      </c>
      <c r="T454" s="4" t="str">
        <f t="shared" si="374"/>
        <v>1+22,5697072912516i</v>
      </c>
      <c r="U454" s="4">
        <f t="shared" si="386"/>
        <v>22.5918500174903</v>
      </c>
      <c r="V454" s="4">
        <f t="shared" si="387"/>
        <v>1.526518109913</v>
      </c>
      <c r="W454" t="str">
        <f t="shared" si="375"/>
        <v>1-10,7154931158862i</v>
      </c>
      <c r="X454" s="4">
        <f t="shared" si="388"/>
        <v>10.7620533689721</v>
      </c>
      <c r="Y454" s="4">
        <f t="shared" si="389"/>
        <v>-1.47774302388466</v>
      </c>
      <c r="Z454" t="str">
        <f t="shared" si="376"/>
        <v>0,571585746734874+18,3683937462116i</v>
      </c>
      <c r="AA454" s="4">
        <f t="shared" si="390"/>
        <v>18.3772848669692</v>
      </c>
      <c r="AB454" s="4">
        <f t="shared" si="391"/>
        <v>1.53968847008933</v>
      </c>
      <c r="AC454" s="67" t="str">
        <f t="shared" si="392"/>
        <v>-0,659297287447256-0,0531242735226157i</v>
      </c>
      <c r="AD454" s="68">
        <f t="shared" si="393"/>
        <v>-3.59026805106726</v>
      </c>
      <c r="AE454" s="31">
        <f t="shared" si="394"/>
        <v>-175.393224260449</v>
      </c>
      <c r="AF454" s="32" t="str">
        <f t="shared" si="395"/>
        <v>236,914774604583</v>
      </c>
      <c r="AG454" s="32" t="str">
        <f t="shared" si="377"/>
        <v>1+474,476801009266i</v>
      </c>
      <c r="AH454" s="32">
        <f t="shared" si="396"/>
        <v>474.477854800397</v>
      </c>
      <c r="AI454" s="32">
        <f t="shared" si="397"/>
        <v>1.56868874531306</v>
      </c>
      <c r="AJ454" s="32" t="str">
        <f t="shared" si="378"/>
        <v>1+22,5697072912516i</v>
      </c>
      <c r="AK454" s="32">
        <f t="shared" si="398"/>
        <v>22.5918500174903</v>
      </c>
      <c r="AL454" s="32">
        <f t="shared" si="399"/>
        <v>1.526518109913</v>
      </c>
      <c r="AM454" s="32" t="str">
        <f t="shared" si="379"/>
        <v>1-1,07286138893519i</v>
      </c>
      <c r="AN454" s="32">
        <f t="shared" si="400"/>
        <v>1.46663954667394</v>
      </c>
      <c r="AO454" s="32">
        <f t="shared" si="401"/>
        <v>-0.820533847818096</v>
      </c>
      <c r="AP454" s="30" t="str">
        <f t="shared" si="402"/>
        <v>10,7602470734519-12,5672078240162i</v>
      </c>
      <c r="AQ454" s="32">
        <f t="shared" si="403"/>
        <v>24.3730277030023</v>
      </c>
      <c r="AR454" s="31">
        <f t="shared" si="404"/>
        <v>-49.4293258554151</v>
      </c>
      <c r="AS454" t="str">
        <f t="shared" si="380"/>
        <v>-0,000272527472527473</v>
      </c>
      <c r="AT454" t="str">
        <f t="shared" si="381"/>
        <v>0,323431966093382i</v>
      </c>
      <c r="AU454">
        <f t="shared" si="405"/>
        <v>0.323431966093382</v>
      </c>
      <c r="AV454">
        <f t="shared" si="406"/>
        <v>1.5707963267949</v>
      </c>
      <c r="AW454" t="str">
        <f t="shared" si="382"/>
        <v>1+16,559123430982i</v>
      </c>
      <c r="AX454">
        <f t="shared" si="407"/>
        <v>16.5892907866038</v>
      </c>
      <c r="AY454">
        <f t="shared" si="408"/>
        <v>1.51047990848739</v>
      </c>
      <c r="AZ454" t="str">
        <f t="shared" si="383"/>
        <v>1+791,667028710992i</v>
      </c>
      <c r="BA454">
        <f t="shared" si="409"/>
        <v>791.667660289399</v>
      </c>
      <c r="BB454">
        <f t="shared" si="410"/>
        <v>1.56953317014964</v>
      </c>
      <c r="BC454" s="30" t="str">
        <f t="shared" si="411"/>
        <v>-0,00237319745772402+0,0401406810618525i</v>
      </c>
      <c r="BD454" s="32">
        <f t="shared" si="412"/>
        <v>-27.9131513544784</v>
      </c>
      <c r="BE454" s="31">
        <f t="shared" si="413"/>
        <v>93.3835026597289</v>
      </c>
      <c r="BF454" s="30" t="str">
        <f t="shared" si="414"/>
        <v>0,0036970871665681-0,0263385677494975i</v>
      </c>
      <c r="BG454" s="68">
        <f t="shared" si="415"/>
        <v>-31.5034194055457</v>
      </c>
      <c r="BH454" s="31">
        <f t="shared" si="416"/>
        <v>-82.00972160072</v>
      </c>
      <c r="BI454" s="30" t="str">
        <f t="shared" si="423"/>
        <v>0,478920090102653+0,461748111580809i</v>
      </c>
      <c r="BJ454" s="68">
        <f t="shared" si="417"/>
        <v>-3.54012365147611</v>
      </c>
      <c r="BK454" s="31">
        <f t="shared" si="424"/>
        <v>43.9541768043138</v>
      </c>
      <c r="BL454" s="32">
        <f t="shared" si="418"/>
        <v>-31.5034194055457</v>
      </c>
      <c r="BM454" s="31">
        <f t="shared" si="419"/>
        <v>-82.00972160072</v>
      </c>
      <c r="BO454">
        <f t="shared" si="420"/>
        <v>0</v>
      </c>
      <c r="BP454">
        <f t="shared" si="421"/>
        <v>0</v>
      </c>
    </row>
    <row r="455" spans="14:68">
      <c r="N455" s="7">
        <v>37</v>
      </c>
      <c r="O455" s="18">
        <f t="shared" si="422"/>
        <v>234422.881531993</v>
      </c>
      <c r="P455" s="86" t="str">
        <f t="shared" si="372"/>
        <v>96,0576923076923</v>
      </c>
      <c r="Q455" s="4" t="str">
        <f t="shared" si="373"/>
        <v>1+1966,12480710597i</v>
      </c>
      <c r="R455" s="4">
        <f t="shared" si="384"/>
        <v>1966.12506141331</v>
      </c>
      <c r="S455" s="4">
        <f t="shared" si="385"/>
        <v>1.57028771212804</v>
      </c>
      <c r="T455" s="4" t="str">
        <f t="shared" si="374"/>
        <v>1+23,0954233089656i</v>
      </c>
      <c r="U455" s="4">
        <f t="shared" si="386"/>
        <v>23.1170624825109</v>
      </c>
      <c r="V455" s="4">
        <f t="shared" si="387"/>
        <v>1.52752473289109</v>
      </c>
      <c r="W455" t="str">
        <f t="shared" si="375"/>
        <v>1-10,965089014319i</v>
      </c>
      <c r="X455" s="4">
        <f t="shared" si="388"/>
        <v>11.0105938573693</v>
      </c>
      <c r="Y455" s="4">
        <f t="shared" si="389"/>
        <v>-1.47984938040206</v>
      </c>
      <c r="Z455" t="str">
        <f t="shared" si="376"/>
        <v>0,551395205014178+18,796248599952i</v>
      </c>
      <c r="AA455" s="4">
        <f t="shared" si="390"/>
        <v>18.8043345562482</v>
      </c>
      <c r="AB455" s="4">
        <f t="shared" si="391"/>
        <v>1.54146935161386</v>
      </c>
      <c r="AC455" s="67" t="str">
        <f t="shared" si="392"/>
        <v>-0,659326472540864-0,0512076081437815i</v>
      </c>
      <c r="AD455" s="68">
        <f t="shared" si="393"/>
        <v>-3.59187138456243</v>
      </c>
      <c r="AE455" s="31">
        <f t="shared" si="394"/>
        <v>-175.558950138013</v>
      </c>
      <c r="AF455" s="32" t="str">
        <f t="shared" si="395"/>
        <v>236,914774604583</v>
      </c>
      <c r="AG455" s="32" t="str">
        <f t="shared" si="377"/>
        <v>1+485,528785472572i</v>
      </c>
      <c r="AH455" s="32">
        <f t="shared" si="396"/>
        <v>485.52981527654</v>
      </c>
      <c r="AI455" s="32">
        <f t="shared" si="397"/>
        <v>1.5687367195874</v>
      </c>
      <c r="AJ455" s="32" t="str">
        <f t="shared" si="378"/>
        <v>1+23,0954233089656i</v>
      </c>
      <c r="AK455" s="32">
        <f t="shared" si="398"/>
        <v>23.1170624825109</v>
      </c>
      <c r="AL455" s="32">
        <f t="shared" si="399"/>
        <v>1.52752473289109</v>
      </c>
      <c r="AM455" s="32" t="str">
        <f t="shared" si="379"/>
        <v>1-1,09785154098598i</v>
      </c>
      <c r="AN455" s="32">
        <f t="shared" si="400"/>
        <v>1.48501784704605</v>
      </c>
      <c r="AO455" s="32">
        <f t="shared" si="401"/>
        <v>-0.83200807287831</v>
      </c>
      <c r="AP455" s="30" t="str">
        <f t="shared" si="402"/>
        <v>10,7602018610542-12,8379837783391i</v>
      </c>
      <c r="AQ455" s="32">
        <f t="shared" si="403"/>
        <v>24.4808112217425</v>
      </c>
      <c r="AR455" s="31">
        <f t="shared" si="404"/>
        <v>-50.0318239997883</v>
      </c>
      <c r="AS455" t="str">
        <f t="shared" si="380"/>
        <v>-0,000272527472527473</v>
      </c>
      <c r="AT455" t="str">
        <f t="shared" si="381"/>
        <v>0,330965664382944i</v>
      </c>
      <c r="AU455">
        <f t="shared" si="405"/>
        <v>0.330965664382944</v>
      </c>
      <c r="AV455">
        <f t="shared" si="406"/>
        <v>1.5707963267949</v>
      </c>
      <c r="AW455" t="str">
        <f t="shared" si="382"/>
        <v>1+16,944834965236i</v>
      </c>
      <c r="AX455">
        <f t="shared" si="407"/>
        <v>16.9743168345322</v>
      </c>
      <c r="AY455">
        <f t="shared" si="408"/>
        <v>1.51184966267839</v>
      </c>
      <c r="AZ455" t="str">
        <f t="shared" si="383"/>
        <v>1+810,107322699685i</v>
      </c>
      <c r="BA455">
        <f t="shared" si="409"/>
        <v>810.107939901623</v>
      </c>
      <c r="BB455">
        <f t="shared" si="410"/>
        <v>1.56956192307571</v>
      </c>
      <c r="BC455" s="30" t="str">
        <f t="shared" si="411"/>
        <v>-0,00226675668645878+0,0392332492138203i</v>
      </c>
      <c r="BD455" s="32">
        <f t="shared" si="412"/>
        <v>-28.1124413558348</v>
      </c>
      <c r="BE455" s="31">
        <f t="shared" si="413"/>
        <v>93.3066689469263</v>
      </c>
      <c r="BF455" s="30" t="str">
        <f t="shared" si="414"/>
        <v>0,00350357354213992-0,0257514446223073i</v>
      </c>
      <c r="BG455" s="68">
        <f t="shared" si="415"/>
        <v>-31.7043127403972</v>
      </c>
      <c r="BH455" s="31">
        <f t="shared" si="416"/>
        <v>-82.2522811910863</v>
      </c>
      <c r="BI455" s="30" t="str">
        <f t="shared" si="423"/>
        <v>0,479285057462369+0,451258266775952i</v>
      </c>
      <c r="BJ455" s="68">
        <f t="shared" si="417"/>
        <v>-3.63163013409229</v>
      </c>
      <c r="BK455" s="31">
        <f t="shared" si="424"/>
        <v>43.274844947138</v>
      </c>
      <c r="BL455" s="32">
        <f t="shared" si="418"/>
        <v>-31.7043127403972</v>
      </c>
      <c r="BM455" s="31">
        <f t="shared" si="419"/>
        <v>-82.2522811910863</v>
      </c>
      <c r="BO455">
        <f t="shared" si="420"/>
        <v>0</v>
      </c>
      <c r="BP455">
        <f t="shared" si="421"/>
        <v>0</v>
      </c>
    </row>
    <row r="456" spans="14:68">
      <c r="N456" s="7">
        <v>38</v>
      </c>
      <c r="O456" s="18">
        <f t="shared" si="422"/>
        <v>239883.291901949</v>
      </c>
      <c r="P456" s="86" t="str">
        <f t="shared" si="372"/>
        <v>96,0576923076923</v>
      </c>
      <c r="Q456" s="4" t="str">
        <f t="shared" si="373"/>
        <v>1+2011,92173706088i</v>
      </c>
      <c r="R456" s="4">
        <f t="shared" si="384"/>
        <v>2011.92198557948</v>
      </c>
      <c r="S456" s="4">
        <f t="shared" si="385"/>
        <v>1.57029928960939</v>
      </c>
      <c r="T456" s="4" t="str">
        <f t="shared" si="374"/>
        <v>1+23,633384825822i</v>
      </c>
      <c r="U456" s="4">
        <f t="shared" si="386"/>
        <v>23.6545318771138</v>
      </c>
      <c r="V456" s="4">
        <f t="shared" si="387"/>
        <v>1.52850852712974</v>
      </c>
      <c r="W456" t="str">
        <f t="shared" si="375"/>
        <v>1-11,2204987480873i</v>
      </c>
      <c r="X456" s="4">
        <f t="shared" si="388"/>
        <v>11.2649719110093</v>
      </c>
      <c r="Y456" s="4">
        <f t="shared" si="389"/>
        <v>-1.48190857265103</v>
      </c>
      <c r="Z456" t="str">
        <f t="shared" si="376"/>
        <v>0,530253112377828+19,2340694734978i</v>
      </c>
      <c r="AA456" s="4">
        <f t="shared" si="390"/>
        <v>19.2413772083634</v>
      </c>
      <c r="AB456" s="4">
        <f t="shared" si="391"/>
        <v>1.54323487703011</v>
      </c>
      <c r="AC456" s="67" t="str">
        <f t="shared" si="392"/>
        <v>-0,65935279338406-0,0493179167371421i</v>
      </c>
      <c r="AD456" s="68">
        <f t="shared" si="393"/>
        <v>-3.59341340406002</v>
      </c>
      <c r="AE456" s="31">
        <f t="shared" si="394"/>
        <v>-175.722386401094</v>
      </c>
      <c r="AF456" s="32" t="str">
        <f t="shared" si="395"/>
        <v>236,914774604583</v>
      </c>
      <c r="AG456" s="32" t="str">
        <f t="shared" si="377"/>
        <v>1+496,838203724667i</v>
      </c>
      <c r="AH456" s="32">
        <f t="shared" si="396"/>
        <v>496.839210087483</v>
      </c>
      <c r="AI456" s="32">
        <f t="shared" si="397"/>
        <v>1.56878360184309</v>
      </c>
      <c r="AJ456" s="32" t="str">
        <f t="shared" si="378"/>
        <v>1+23,633384825822i</v>
      </c>
      <c r="AK456" s="32">
        <f t="shared" si="398"/>
        <v>23.6545318771138</v>
      </c>
      <c r="AL456" s="32">
        <f t="shared" si="399"/>
        <v>1.52850852712974</v>
      </c>
      <c r="AM456" s="32" t="str">
        <f t="shared" si="379"/>
        <v>1-1,12342378845557i</v>
      </c>
      <c r="AN456" s="32">
        <f t="shared" si="400"/>
        <v>1.50402161170239</v>
      </c>
      <c r="AO456" s="32">
        <f t="shared" si="401"/>
        <v>-0.843457734125218</v>
      </c>
      <c r="AP456" s="30" t="str">
        <f t="shared" si="402"/>
        <v>10,7601586835328-13,1155665932075i</v>
      </c>
      <c r="AQ456" s="32">
        <f t="shared" si="403"/>
        <v>24.5908943443621</v>
      </c>
      <c r="AR456" s="31">
        <f t="shared" si="404"/>
        <v>-50.634160163692</v>
      </c>
      <c r="AS456" t="str">
        <f t="shared" si="380"/>
        <v>-0,000272527472527473</v>
      </c>
      <c r="AT456" t="str">
        <f t="shared" si="381"/>
        <v>0,33867484504861i</v>
      </c>
      <c r="AU456">
        <f t="shared" si="405"/>
        <v>0.33867484504861</v>
      </c>
      <c r="AV456">
        <f t="shared" si="406"/>
        <v>1.5707963267949</v>
      </c>
      <c r="AW456" t="str">
        <f t="shared" si="382"/>
        <v>1+17,3395308752798i</v>
      </c>
      <c r="AX456">
        <f t="shared" si="407"/>
        <v>17.368342781474</v>
      </c>
      <c r="AY456">
        <f t="shared" si="408"/>
        <v>1.51318845147641</v>
      </c>
      <c r="AZ456" t="str">
        <f t="shared" si="383"/>
        <v>1+828,977146313909i</v>
      </c>
      <c r="BA456">
        <f t="shared" si="409"/>
        <v>828.977749466626</v>
      </c>
      <c r="BB456">
        <f t="shared" si="410"/>
        <v>1.56959002150724</v>
      </c>
      <c r="BC456" s="30" t="str">
        <f t="shared" si="411"/>
        <v>-0,00216507402879151+0,0383460556412026i</v>
      </c>
      <c r="BD456" s="32">
        <f t="shared" si="412"/>
        <v>-28.3117632039273</v>
      </c>
      <c r="BE456" s="31">
        <f t="shared" si="413"/>
        <v>93.2315719206781</v>
      </c>
      <c r="BF456" s="30" t="str">
        <f t="shared" si="414"/>
        <v>0,00331869518807761-0,0251768019616058i</v>
      </c>
      <c r="BG456" s="68">
        <f t="shared" si="415"/>
        <v>-31.9051766079873</v>
      </c>
      <c r="BH456" s="31">
        <f t="shared" si="416"/>
        <v>-82.4908144804157</v>
      </c>
      <c r="BI456" s="30" t="str">
        <f t="shared" si="423"/>
        <v>0,479633706237641+0,441005816190757i</v>
      </c>
      <c r="BJ456" s="68">
        <f t="shared" si="417"/>
        <v>-3.72086885956517</v>
      </c>
      <c r="BK456" s="31">
        <f t="shared" si="424"/>
        <v>42.597411756986</v>
      </c>
      <c r="BL456" s="32">
        <f t="shared" si="418"/>
        <v>-31.9051766079873</v>
      </c>
      <c r="BM456" s="31">
        <f t="shared" si="419"/>
        <v>-82.4908144804157</v>
      </c>
      <c r="BO456">
        <f t="shared" si="420"/>
        <v>0</v>
      </c>
      <c r="BP456">
        <f t="shared" si="421"/>
        <v>0</v>
      </c>
    </row>
    <row r="457" spans="14:68">
      <c r="N457" s="7">
        <v>39</v>
      </c>
      <c r="O457" s="18">
        <f t="shared" si="422"/>
        <v>245470.891568503</v>
      </c>
      <c r="P457" s="86" t="str">
        <f t="shared" si="372"/>
        <v>96,0576923076923</v>
      </c>
      <c r="Q457" s="4" t="str">
        <f t="shared" si="373"/>
        <v>1+2058,78541455171i</v>
      </c>
      <c r="R457" s="4">
        <f t="shared" si="384"/>
        <v>2058.78565741333</v>
      </c>
      <c r="S457" s="4">
        <f t="shared" si="385"/>
        <v>1.57031060355522</v>
      </c>
      <c r="T457" s="4" t="str">
        <f t="shared" si="374"/>
        <v>1+24,1838770761379i</v>
      </c>
      <c r="U457" s="4">
        <f t="shared" si="386"/>
        <v>24.2045431775472</v>
      </c>
      <c r="V457" s="4">
        <f t="shared" si="387"/>
        <v>1.529470006628</v>
      </c>
      <c r="W457" t="str">
        <f t="shared" si="375"/>
        <v>1-11,4818577388127i</v>
      </c>
      <c r="X457" s="4">
        <f t="shared" si="388"/>
        <v>11.5253224308187</v>
      </c>
      <c r="Y457" s="4">
        <f t="shared" si="389"/>
        <v>-1.48392162255162</v>
      </c>
      <c r="Z457" t="str">
        <f t="shared" si="376"/>
        <v>0,508114623612768+19,6820885052714i</v>
      </c>
      <c r="AA457" s="4">
        <f t="shared" si="390"/>
        <v>19.6886461799705</v>
      </c>
      <c r="AB457" s="4">
        <f t="shared" si="391"/>
        <v>1.54498596691192</v>
      </c>
      <c r="AC457" s="67" t="str">
        <f t="shared" si="392"/>
        <v>-0,659376304429728-0,0474542143767812i</v>
      </c>
      <c r="AD457" s="68">
        <f t="shared" si="393"/>
        <v>-3.59489730305943</v>
      </c>
      <c r="AE457" s="31">
        <f t="shared" si="394"/>
        <v>-175.883615248129</v>
      </c>
      <c r="AF457" s="32" t="str">
        <f t="shared" si="395"/>
        <v>236,914774604583</v>
      </c>
      <c r="AG457" s="32" t="str">
        <f t="shared" si="377"/>
        <v>1+508,411052168808i</v>
      </c>
      <c r="AH457" s="32">
        <f t="shared" si="396"/>
        <v>508.412035624054</v>
      </c>
      <c r="AI457" s="32">
        <f t="shared" si="397"/>
        <v>1.56882941693691</v>
      </c>
      <c r="AJ457" s="32" t="str">
        <f t="shared" si="378"/>
        <v>1+24,1838770761379i</v>
      </c>
      <c r="AK457" s="32">
        <f t="shared" si="398"/>
        <v>24.2045431775472</v>
      </c>
      <c r="AL457" s="32">
        <f t="shared" si="399"/>
        <v>1.529470006628</v>
      </c>
      <c r="AM457" s="32" t="str">
        <f t="shared" si="379"/>
        <v>1-1,14959169008808i</v>
      </c>
      <c r="AN457" s="32">
        <f t="shared" si="400"/>
        <v>1.52366697605467</v>
      </c>
      <c r="AO457" s="32">
        <f t="shared" si="401"/>
        <v>-0.854876895371298</v>
      </c>
      <c r="AP457" s="30" t="str">
        <f t="shared" si="402"/>
        <v>10,7601174493046-13,400103447264i</v>
      </c>
      <c r="AQ457" s="32">
        <f t="shared" si="403"/>
        <v>24.703265348263</v>
      </c>
      <c r="AR457" s="31">
        <f t="shared" si="404"/>
        <v>-51.2359662028465</v>
      </c>
      <c r="AS457" t="str">
        <f t="shared" si="380"/>
        <v>-0,000272527472527473</v>
      </c>
      <c r="AT457" t="str">
        <f t="shared" si="381"/>
        <v>0,346563595600013i</v>
      </c>
      <c r="AU457">
        <f t="shared" si="405"/>
        <v>0.346563595600013</v>
      </c>
      <c r="AV457">
        <f t="shared" si="406"/>
        <v>1.5707963267949</v>
      </c>
      <c r="AW457" t="str">
        <f t="shared" si="382"/>
        <v>1+17,7434204341096i</v>
      </c>
      <c r="AX457">
        <f t="shared" si="407"/>
        <v>17.7715775524172</v>
      </c>
      <c r="AY457">
        <f t="shared" si="408"/>
        <v>1.51449696551746</v>
      </c>
      <c r="AZ457" t="str">
        <f t="shared" si="383"/>
        <v>1+848,286504583919i</v>
      </c>
      <c r="BA457">
        <f t="shared" si="409"/>
        <v>848.287094007214</v>
      </c>
      <c r="BB457">
        <f t="shared" si="410"/>
        <v>1.56961748034223</v>
      </c>
      <c r="BC457" s="30" t="str">
        <f t="shared" si="411"/>
        <v>-0,00206793818097553+0,0374786673208318i</v>
      </c>
      <c r="BD457" s="32">
        <f t="shared" si="412"/>
        <v>-28.5111154749299</v>
      </c>
      <c r="BE457" s="31">
        <f t="shared" si="413"/>
        <v>93.1581728640477</v>
      </c>
      <c r="BF457" s="30" t="str">
        <f t="shared" si="414"/>
        <v>0,0031420701491596-0,0246144127712033i</v>
      </c>
      <c r="BG457" s="68">
        <f t="shared" si="415"/>
        <v>-32.1060127779893</v>
      </c>
      <c r="BH457" s="31">
        <f t="shared" si="416"/>
        <v>-82.7254423840817</v>
      </c>
      <c r="BI457" s="30" t="str">
        <f t="shared" si="423"/>
        <v>0,479966761459541+0,430985447763183i</v>
      </c>
      <c r="BJ457" s="68">
        <f t="shared" si="417"/>
        <v>-3.80785012666682</v>
      </c>
      <c r="BK457" s="31">
        <f t="shared" si="424"/>
        <v>41.9222066612012</v>
      </c>
      <c r="BL457" s="32">
        <f t="shared" si="418"/>
        <v>-32.1060127779893</v>
      </c>
      <c r="BM457" s="31">
        <f t="shared" si="419"/>
        <v>-82.7254423840817</v>
      </c>
      <c r="BO457">
        <f t="shared" si="420"/>
        <v>0</v>
      </c>
      <c r="BP457">
        <f t="shared" si="421"/>
        <v>0</v>
      </c>
    </row>
    <row r="458" spans="14:68">
      <c r="N458" s="7">
        <v>40</v>
      </c>
      <c r="O458" s="18">
        <f t="shared" si="422"/>
        <v>251188.643150958</v>
      </c>
      <c r="P458" s="86" t="str">
        <f t="shared" si="372"/>
        <v>96,0576923076923</v>
      </c>
      <c r="Q458" s="4" t="str">
        <f t="shared" si="373"/>
        <v>1+2106,7406873206i</v>
      </c>
      <c r="R458" s="4">
        <f t="shared" si="384"/>
        <v>2106.74092465402</v>
      </c>
      <c r="S458" s="4">
        <f t="shared" si="385"/>
        <v>1.57032165996432</v>
      </c>
      <c r="T458" s="4" t="str">
        <f t="shared" si="374"/>
        <v>1+24,7471919381912i</v>
      </c>
      <c r="U458" s="4">
        <f t="shared" si="386"/>
        <v>24.7673880097534</v>
      </c>
      <c r="V458" s="4">
        <f t="shared" si="387"/>
        <v>1.53040967406031</v>
      </c>
      <c r="W458" t="str">
        <f t="shared" si="375"/>
        <v>1-11,7493045624916i</v>
      </c>
      <c r="X458" s="4">
        <f t="shared" si="388"/>
        <v>11.7917834826707</v>
      </c>
      <c r="Y458" s="4">
        <f t="shared" si="389"/>
        <v>-1.48588953215237</v>
      </c>
      <c r="Z458" t="str">
        <f t="shared" si="376"/>
        <v>0,484932780016163+20,1405432408939i</v>
      </c>
      <c r="AA458" s="4">
        <f t="shared" si="390"/>
        <v>20.1463803656997</v>
      </c>
      <c r="AB458" s="4">
        <f t="shared" si="391"/>
        <v>1.54672353502052</v>
      </c>
      <c r="AC458" s="67" t="str">
        <f t="shared" si="392"/>
        <v>-0,65939705431561-0,0456155291660869i</v>
      </c>
      <c r="AD458" s="68">
        <f t="shared" si="393"/>
        <v>-3.59632615843239</v>
      </c>
      <c r="AE458" s="31">
        <f t="shared" si="394"/>
        <v>-176.042717989515</v>
      </c>
      <c r="AF458" s="32" t="str">
        <f t="shared" si="395"/>
        <v>236,914774604583</v>
      </c>
      <c r="AG458" s="32" t="str">
        <f t="shared" si="377"/>
        <v>1+520,253466882428i</v>
      </c>
      <c r="AH458" s="32">
        <f t="shared" si="396"/>
        <v>520.254427951542</v>
      </c>
      <c r="AI458" s="32">
        <f t="shared" si="397"/>
        <v>1.56887418915984</v>
      </c>
      <c r="AJ458" s="32" t="str">
        <f t="shared" si="378"/>
        <v>1+24,7471919381912i</v>
      </c>
      <c r="AK458" s="32">
        <f t="shared" si="398"/>
        <v>24.7673880097534</v>
      </c>
      <c r="AL458" s="32">
        <f t="shared" si="399"/>
        <v>1.53040967406031</v>
      </c>
      <c r="AM458" s="32" t="str">
        <f t="shared" si="379"/>
        <v>1-1,17636912045133i</v>
      </c>
      <c r="AN458" s="32">
        <f t="shared" si="400"/>
        <v>1.54397030656403</v>
      </c>
      <c r="AO458" s="32">
        <f t="shared" si="401"/>
        <v>-0.866259699914191</v>
      </c>
      <c r="AP458" s="30" t="str">
        <f t="shared" si="402"/>
        <v>10,7600780709083-13,6917452062373i</v>
      </c>
      <c r="AQ458" s="32">
        <f t="shared" si="403"/>
        <v>24.8179102349487</v>
      </c>
      <c r="AR458" s="31">
        <f t="shared" si="404"/>
        <v>-51.8368791435727</v>
      </c>
      <c r="AS458" t="str">
        <f t="shared" si="380"/>
        <v>-0,000272527472527473</v>
      </c>
      <c r="AT458" t="str">
        <f t="shared" si="381"/>
        <v>0,354636098757114i</v>
      </c>
      <c r="AU458">
        <f t="shared" si="405"/>
        <v>0.354636098757114</v>
      </c>
      <c r="AV458">
        <f t="shared" si="406"/>
        <v>1.5707963267949</v>
      </c>
      <c r="AW458" t="str">
        <f t="shared" si="382"/>
        <v>1+18,1567177893155i</v>
      </c>
      <c r="AX458">
        <f t="shared" si="407"/>
        <v>18.1842349545106</v>
      </c>
      <c r="AY458">
        <f t="shared" si="408"/>
        <v>1.51577588065925</v>
      </c>
      <c r="AZ458" t="str">
        <f t="shared" si="383"/>
        <v>1+868,045635587063i</v>
      </c>
      <c r="BA458">
        <f t="shared" si="409"/>
        <v>868.046211593454</v>
      </c>
      <c r="BB458">
        <f t="shared" si="410"/>
        <v>1.56964431413954</v>
      </c>
      <c r="BC458" s="30" t="str">
        <f t="shared" si="411"/>
        <v>-0,00197514710081315+0,0366306592623908i</v>
      </c>
      <c r="BD458" s="32">
        <f t="shared" si="412"/>
        <v>-28.7104968082658</v>
      </c>
      <c r="BE458" s="31">
        <f t="shared" si="413"/>
        <v>93.086433887402</v>
      </c>
      <c r="BF458" s="30" t="str">
        <f t="shared" si="414"/>
        <v>0,00297333308607279-0,0240640514350749i</v>
      </c>
      <c r="BG458" s="68">
        <f t="shared" si="415"/>
        <v>-32.3068229666981</v>
      </c>
      <c r="BH458" s="31">
        <f t="shared" si="416"/>
        <v>-82.9562841021131</v>
      </c>
      <c r="BI458" s="30" t="str">
        <f t="shared" si="423"/>
        <v>0,480284916350874+0,421191964301337i</v>
      </c>
      <c r="BJ458" s="68">
        <f t="shared" si="417"/>
        <v>-3.892586573317</v>
      </c>
      <c r="BK458" s="31">
        <f t="shared" si="424"/>
        <v>41.2495547438292</v>
      </c>
      <c r="BL458" s="32">
        <f t="shared" si="418"/>
        <v>-32.3068229666981</v>
      </c>
      <c r="BM458" s="31">
        <f t="shared" si="419"/>
        <v>-82.9562841021131</v>
      </c>
      <c r="BO458">
        <f t="shared" si="420"/>
        <v>0</v>
      </c>
      <c r="BP458">
        <f t="shared" si="421"/>
        <v>0</v>
      </c>
    </row>
    <row r="459" spans="14:68">
      <c r="N459" s="7">
        <v>41</v>
      </c>
      <c r="O459" s="18">
        <f t="shared" si="422"/>
        <v>257039.578276887</v>
      </c>
      <c r="P459" s="86" t="str">
        <f t="shared" si="372"/>
        <v>96,0576923076923</v>
      </c>
      <c r="Q459" s="4" t="str">
        <f t="shared" si="373"/>
        <v>1+2155,81298188791i</v>
      </c>
      <c r="R459" s="4">
        <f t="shared" si="384"/>
        <v>2155.81321381896</v>
      </c>
      <c r="S459" s="4">
        <f t="shared" si="385"/>
        <v>1.57033246469894</v>
      </c>
      <c r="T459" s="4" t="str">
        <f t="shared" si="374"/>
        <v>1+25,3236280889778i</v>
      </c>
      <c r="U459" s="4">
        <f t="shared" si="386"/>
        <v>25.3433648040047</v>
      </c>
      <c r="V459" s="4">
        <f t="shared" si="387"/>
        <v>1.53132802100939</v>
      </c>
      <c r="W459" t="str">
        <f t="shared" si="375"/>
        <v>1-12,0229810229699i</v>
      </c>
      <c r="X459" s="4">
        <f t="shared" si="388"/>
        <v>12.0644963707025</v>
      </c>
      <c r="Y459" s="4">
        <f t="shared" si="389"/>
        <v>-1.48781328386266</v>
      </c>
      <c r="Z459" t="str">
        <f t="shared" si="376"/>
        <v>0,460658409789715+20,6096767591342i</v>
      </c>
      <c r="AA459" s="4">
        <f t="shared" si="390"/>
        <v>20.6148243331469</v>
      </c>
      <c r="AB459" s="4">
        <f t="shared" si="391"/>
        <v>1.54844848871974</v>
      </c>
      <c r="AC459" s="67" t="str">
        <f t="shared" si="392"/>
        <v>-0,659415085957206-0,0438009017985055i</v>
      </c>
      <c r="AD459" s="68">
        <f t="shared" si="393"/>
        <v>-3.59770293636478</v>
      </c>
      <c r="AE459" s="31">
        <f t="shared" si="394"/>
        <v>-176.199775071549</v>
      </c>
      <c r="AF459" s="32" t="str">
        <f t="shared" si="395"/>
        <v>236,914774604583</v>
      </c>
      <c r="AG459" s="32" t="str">
        <f t="shared" si="377"/>
        <v>1+532,371726870555i</v>
      </c>
      <c r="AH459" s="32">
        <f t="shared" si="396"/>
        <v>532.372666063104</v>
      </c>
      <c r="AI459" s="32">
        <f t="shared" si="397"/>
        <v>1.56891794225001</v>
      </c>
      <c r="AJ459" s="32" t="str">
        <f t="shared" si="378"/>
        <v>1+25,3236280889778i</v>
      </c>
      <c r="AK459" s="32">
        <f t="shared" si="398"/>
        <v>25.3433648040047</v>
      </c>
      <c r="AL459" s="32">
        <f t="shared" si="399"/>
        <v>1.53132802100939</v>
      </c>
      <c r="AM459" s="32" t="str">
        <f t="shared" si="379"/>
        <v>1-1,20377027729332i</v>
      </c>
      <c r="AN459" s="32">
        <f t="shared" si="400"/>
        <v>1.5649482037738</v>
      </c>
      <c r="AO459" s="32">
        <f t="shared" si="401"/>
        <v>-0.877600385134705</v>
      </c>
      <c r="AP459" s="30" t="str">
        <f t="shared" si="402"/>
        <v>10,760040464819-13,9906465029354i</v>
      </c>
      <c r="AQ459" s="32">
        <f t="shared" si="403"/>
        <v>24.9348127833158</v>
      </c>
      <c r="AR459" s="31">
        <f t="shared" si="404"/>
        <v>-52.4365420065907</v>
      </c>
      <c r="AS459" t="str">
        <f t="shared" si="380"/>
        <v>-0,000272527472527473</v>
      </c>
      <c r="AT459" t="str">
        <f t="shared" si="381"/>
        <v>0,362896634667941i</v>
      </c>
      <c r="AU459">
        <f t="shared" si="405"/>
        <v>0.362896634667941</v>
      </c>
      <c r="AV459">
        <f t="shared" si="406"/>
        <v>1.5707963267949</v>
      </c>
      <c r="AW459" t="str">
        <f t="shared" si="382"/>
        <v>1+18,5796420766259i</v>
      </c>
      <c r="AX459">
        <f t="shared" si="407"/>
        <v>18.6065337904599</v>
      </c>
      <c r="AY459">
        <f t="shared" si="408"/>
        <v>1.51702585825545</v>
      </c>
      <c r="AZ459" t="str">
        <f t="shared" si="383"/>
        <v>1+888,265015876133i</v>
      </c>
      <c r="BA459">
        <f t="shared" si="409"/>
        <v>888.265578771027</v>
      </c>
      <c r="BB459">
        <f t="shared" si="410"/>
        <v>1.56967053712666</v>
      </c>
      <c r="BC459" s="30" t="str">
        <f t="shared" si="411"/>
        <v>-0,00188650761246941+0,0358016144449295i</v>
      </c>
      <c r="BD459" s="32">
        <f t="shared" si="412"/>
        <v>-28.9099059038342</v>
      </c>
      <c r="BE459" s="31">
        <f t="shared" si="413"/>
        <v>93.0163179131415</v>
      </c>
      <c r="BF459" s="30" t="str">
        <f t="shared" si="414"/>
        <v>0,00281213457796575-0,023525493931934i</v>
      </c>
      <c r="BG459" s="68">
        <f t="shared" si="415"/>
        <v>-32.507608840199</v>
      </c>
      <c r="BH459" s="31">
        <f t="shared" si="416"/>
        <v>-83.183457158407</v>
      </c>
      <c r="BI459" s="30" t="str">
        <f t="shared" si="423"/>
        <v>0,480588833686034+0,411620281264446i</v>
      </c>
      <c r="BJ459" s="68">
        <f t="shared" si="417"/>
        <v>-3.97509312051836</v>
      </c>
      <c r="BK459" s="31">
        <f t="shared" si="424"/>
        <v>40.5797759065508</v>
      </c>
      <c r="BL459" s="32">
        <f t="shared" si="418"/>
        <v>-32.507608840199</v>
      </c>
      <c r="BM459" s="31">
        <f t="shared" si="419"/>
        <v>-83.183457158407</v>
      </c>
      <c r="BO459">
        <f t="shared" si="420"/>
        <v>0</v>
      </c>
      <c r="BP459">
        <f t="shared" si="421"/>
        <v>0</v>
      </c>
    </row>
    <row r="460" spans="14:68">
      <c r="N460" s="7">
        <v>42</v>
      </c>
      <c r="O460" s="18">
        <f t="shared" si="422"/>
        <v>263026.799189539</v>
      </c>
      <c r="P460" s="86" t="str">
        <f t="shared" si="372"/>
        <v>96,0576923076923</v>
      </c>
      <c r="Q460" s="4" t="str">
        <f t="shared" si="373"/>
        <v>1+2206,02831703378i</v>
      </c>
      <c r="R460" s="4">
        <f t="shared" si="384"/>
        <v>2206.02854368544</v>
      </c>
      <c r="S460" s="4">
        <f t="shared" si="385"/>
        <v>1.57034302348787</v>
      </c>
      <c r="T460" s="4" t="str">
        <f t="shared" si="374"/>
        <v>1+25,9134911625752i</v>
      </c>
      <c r="U460" s="4">
        <f t="shared" si="386"/>
        <v>25.9327789531485</v>
      </c>
      <c r="V460" s="4">
        <f t="shared" si="387"/>
        <v>1.53222552819542</v>
      </c>
      <c r="W460" t="str">
        <f t="shared" si="375"/>
        <v>1-12,3030322271297i</v>
      </c>
      <c r="X460" s="4">
        <f t="shared" si="388"/>
        <v>12.3436057123432</v>
      </c>
      <c r="Y460" s="4">
        <f t="shared" si="389"/>
        <v>-1.48969384069378</v>
      </c>
      <c r="Z460" t="str">
        <f t="shared" si="376"/>
        <v>0,435240023739635+21,0897378007936i</v>
      </c>
      <c r="AA460" s="4">
        <f t="shared" si="390"/>
        <v>21.0942284614652</v>
      </c>
      <c r="AB460" s="4">
        <f t="shared" si="391"/>
        <v>1.55016172939156</v>
      </c>
      <c r="AC460" s="67" t="str">
        <f t="shared" si="392"/>
        <v>-0,659430436629587-0,0420093851218957i</v>
      </c>
      <c r="AD460" s="68">
        <f t="shared" si="393"/>
        <v>-3.59903049811402</v>
      </c>
      <c r="AE460" s="31">
        <f t="shared" si="394"/>
        <v>-176.354866101092</v>
      </c>
      <c r="AF460" s="32" t="str">
        <f t="shared" si="395"/>
        <v>236,914774604583</v>
      </c>
      <c r="AG460" s="32" t="str">
        <f t="shared" si="377"/>
        <v>1+544,772257395045i</v>
      </c>
      <c r="AH460" s="32">
        <f t="shared" si="396"/>
        <v>544.773175208998</v>
      </c>
      <c r="AI460" s="32">
        <f t="shared" si="397"/>
        <v>1.5689606994052</v>
      </c>
      <c r="AJ460" s="32" t="str">
        <f t="shared" si="378"/>
        <v>1+25,9134911625752i</v>
      </c>
      <c r="AK460" s="32">
        <f t="shared" si="398"/>
        <v>25.9327789531485</v>
      </c>
      <c r="AL460" s="32">
        <f t="shared" si="399"/>
        <v>1.53222552819542</v>
      </c>
      <c r="AM460" s="32" t="str">
        <f t="shared" si="379"/>
        <v>1-1,23180968907012i</v>
      </c>
      <c r="AN460" s="32">
        <f t="shared" si="400"/>
        <v>1.5866175059185</v>
      </c>
      <c r="AO460" s="32">
        <f t="shared" si="401"/>
        <v>-0.88889329650784</v>
      </c>
      <c r="AP460" s="30" t="str">
        <f t="shared" si="402"/>
        <v>10,7600045512709-14,2969658192374i</v>
      </c>
      <c r="AQ460" s="32">
        <f t="shared" si="403"/>
        <v>25.0539546117198</v>
      </c>
      <c r="AR460" s="31">
        <f t="shared" si="404"/>
        <v>-53.0346045973809</v>
      </c>
      <c r="AS460" t="str">
        <f t="shared" si="380"/>
        <v>-0,000272527472527473</v>
      </c>
      <c r="AT460" t="str">
        <f t="shared" si="381"/>
        <v>0,371349583177973i</v>
      </c>
      <c r="AU460">
        <f t="shared" si="405"/>
        <v>0.371349583177973</v>
      </c>
      <c r="AV460">
        <f t="shared" si="406"/>
        <v>1.5707963267949</v>
      </c>
      <c r="AW460" t="str">
        <f t="shared" si="382"/>
        <v>1+19,012417536096i</v>
      </c>
      <c r="AX460">
        <f t="shared" si="407"/>
        <v>19.0386979745688</v>
      </c>
      <c r="AY460">
        <f t="shared" si="408"/>
        <v>1.51824754542772</v>
      </c>
      <c r="AZ460" t="str">
        <f t="shared" si="383"/>
        <v>1+908,955366034204i</v>
      </c>
      <c r="BA460">
        <f t="shared" si="409"/>
        <v>908.955916116053</v>
      </c>
      <c r="BB460">
        <f t="shared" si="410"/>
        <v>1.56969616320721</v>
      </c>
      <c r="BC460" s="30" t="str">
        <f t="shared" si="411"/>
        <v>-0,00180183502719673+0,0349911237471187i</v>
      </c>
      <c r="BD460" s="32">
        <f t="shared" si="412"/>
        <v>-29.1093415193546</v>
      </c>
      <c r="BE460" s="31">
        <f t="shared" si="413"/>
        <v>92.9477886605461</v>
      </c>
      <c r="BF460" s="30" t="str">
        <f t="shared" si="414"/>
        <v>0,00265814045205944-0,0229985180291388i</v>
      </c>
      <c r="BG460" s="68">
        <f t="shared" si="415"/>
        <v>-32.7083720174686</v>
      </c>
      <c r="BH460" s="31">
        <f t="shared" si="416"/>
        <v>-83.4070774405459</v>
      </c>
      <c r="BI460" s="30" t="str">
        <f t="shared" si="423"/>
        <v>0,480879147095986+0,402265424568817i</v>
      </c>
      <c r="BJ460" s="68">
        <f t="shared" si="417"/>
        <v>-4.05538690763484</v>
      </c>
      <c r="BK460" s="31">
        <f t="shared" si="424"/>
        <v>39.9131840631653</v>
      </c>
      <c r="BL460" s="32">
        <f t="shared" si="418"/>
        <v>-32.7083720174686</v>
      </c>
      <c r="BM460" s="31">
        <f t="shared" si="419"/>
        <v>-83.4070774405459</v>
      </c>
      <c r="BO460">
        <f t="shared" si="420"/>
        <v>0</v>
      </c>
      <c r="BP460">
        <f t="shared" si="421"/>
        <v>0</v>
      </c>
    </row>
    <row r="461" spans="14:68">
      <c r="N461" s="7">
        <v>43</v>
      </c>
      <c r="O461" s="18">
        <f t="shared" si="422"/>
        <v>269153.480392691</v>
      </c>
      <c r="P461" s="86" t="str">
        <f t="shared" si="372"/>
        <v>96,0576923076923</v>
      </c>
      <c r="Q461" s="4" t="str">
        <f t="shared" si="373"/>
        <v>1+2257,41331759355i</v>
      </c>
      <c r="R461" s="4">
        <f t="shared" si="384"/>
        <v>2257.41353908599</v>
      </c>
      <c r="S461" s="4">
        <f t="shared" si="385"/>
        <v>1.57035334192952</v>
      </c>
      <c r="T461" s="4" t="str">
        <f t="shared" si="374"/>
        <v>1+26,5170939121921i</v>
      </c>
      <c r="U461" s="4">
        <f t="shared" si="386"/>
        <v>26.5359429745396</v>
      </c>
      <c r="V461" s="4">
        <f t="shared" si="387"/>
        <v>1.53310266570161</v>
      </c>
      <c r="W461" t="str">
        <f t="shared" si="375"/>
        <v>1-12,5896066618259i</v>
      </c>
      <c r="X461" s="4">
        <f t="shared" si="388"/>
        <v>12.62925951509</v>
      </c>
      <c r="Y461" s="4">
        <f t="shared" si="389"/>
        <v>-1.4915321465076</v>
      </c>
      <c r="Z461" t="str">
        <f t="shared" si="376"/>
        <v>0,408623706061235+21,5809809005904i</v>
      </c>
      <c r="AA461" s="4">
        <f t="shared" si="390"/>
        <v>21.5848490836698</v>
      </c>
      <c r="AB461" s="4">
        <f t="shared" si="391"/>
        <v>1.55186415285163</v>
      </c>
      <c r="AC461" s="67" t="str">
        <f t="shared" si="392"/>
        <v>-0,659443138038296-0,0402400437066009i</v>
      </c>
      <c r="AD461" s="68">
        <f t="shared" si="393"/>
        <v>-3.60031160558907</v>
      </c>
      <c r="AE461" s="31">
        <f t="shared" si="394"/>
        <v>-176.508069870884</v>
      </c>
      <c r="AF461" s="32" t="str">
        <f t="shared" si="395"/>
        <v>236,914774604583</v>
      </c>
      <c r="AG461" s="32" t="str">
        <f t="shared" si="377"/>
        <v>1+557,461633381311i</v>
      </c>
      <c r="AH461" s="32">
        <f t="shared" si="396"/>
        <v>557.462530303301</v>
      </c>
      <c r="AI461" s="32">
        <f t="shared" si="397"/>
        <v>1.56900248329519</v>
      </c>
      <c r="AJ461" s="32" t="str">
        <f t="shared" si="378"/>
        <v>1+26,5170939121921i</v>
      </c>
      <c r="AK461" s="32">
        <f t="shared" si="398"/>
        <v>26.5359429745396</v>
      </c>
      <c r="AL461" s="32">
        <f t="shared" si="399"/>
        <v>1.53310266570161</v>
      </c>
      <c r="AM461" s="32" t="str">
        <f t="shared" si="379"/>
        <v>1-1,26050222264897i</v>
      </c>
      <c r="AN461" s="32">
        <f t="shared" si="400"/>
        <v>1.60899529312643</v>
      </c>
      <c r="AO461" s="32">
        <f t="shared" si="401"/>
        <v>-0.900132900947559</v>
      </c>
      <c r="AP461" s="30" t="str">
        <f t="shared" si="402"/>
        <v>10,759970254088-14,6108655701233i</v>
      </c>
      <c r="AQ461" s="32">
        <f t="shared" si="403"/>
        <v>25.1753152482656</v>
      </c>
      <c r="AR461" s="31">
        <f t="shared" si="404"/>
        <v>-53.630724258564</v>
      </c>
      <c r="AS461" t="str">
        <f t="shared" si="380"/>
        <v>-0,000272527472527473</v>
      </c>
      <c r="AT461" t="str">
        <f t="shared" si="381"/>
        <v>0,379999426152397i</v>
      </c>
      <c r="AU461">
        <f t="shared" si="405"/>
        <v>0.379999426152397</v>
      </c>
      <c r="AV461">
        <f t="shared" si="406"/>
        <v>1.5707963267949</v>
      </c>
      <c r="AW461" t="str">
        <f t="shared" si="382"/>
        <v>1+19,4552736310025i</v>
      </c>
      <c r="AX461">
        <f t="shared" si="407"/>
        <v>19.4809566514887</v>
      </c>
      <c r="AY461">
        <f t="shared" si="408"/>
        <v>1.51944157533536</v>
      </c>
      <c r="AZ461" t="str">
        <f t="shared" si="383"/>
        <v>1+930,127656358779i</v>
      </c>
      <c r="BA461">
        <f t="shared" si="409"/>
        <v>930.128193919244</v>
      </c>
      <c r="BB461">
        <f t="shared" si="410"/>
        <v>1.56972120596834</v>
      </c>
      <c r="BC461" s="30" t="str">
        <f t="shared" si="411"/>
        <v>-0,00172095277941499+0,0341987858718653i</v>
      </c>
      <c r="BD461" s="32">
        <f t="shared" si="412"/>
        <v>-29.3088024678252</v>
      </c>
      <c r="BE461" s="31">
        <f t="shared" si="413"/>
        <v>92.8808106307466</v>
      </c>
      <c r="BF461" s="30" t="str">
        <f t="shared" si="414"/>
        <v>0,00251103113946969-0,0224829034573819i</v>
      </c>
      <c r="BG461" s="68">
        <f t="shared" si="415"/>
        <v>-32.9091140734143</v>
      </c>
      <c r="BH461" s="31">
        <f t="shared" si="416"/>
        <v>-83.6272592401378</v>
      </c>
      <c r="BI461" s="30" t="str">
        <f t="shared" si="423"/>
        <v>0,48115646232006+0,393122528419758i</v>
      </c>
      <c r="BJ461" s="68">
        <f t="shared" si="417"/>
        <v>-4.13348721955961</v>
      </c>
      <c r="BK461" s="31">
        <f t="shared" si="424"/>
        <v>39.2500863721827</v>
      </c>
      <c r="BL461" s="32">
        <f t="shared" si="418"/>
        <v>-32.9091140734143</v>
      </c>
      <c r="BM461" s="31">
        <f t="shared" si="419"/>
        <v>-83.6272592401378</v>
      </c>
      <c r="BO461">
        <f t="shared" si="420"/>
        <v>0</v>
      </c>
      <c r="BP461">
        <f t="shared" si="421"/>
        <v>0</v>
      </c>
    </row>
    <row r="462" spans="14:68">
      <c r="N462" s="7">
        <v>44</v>
      </c>
      <c r="O462" s="18">
        <f t="shared" si="422"/>
        <v>275422.870333817</v>
      </c>
      <c r="P462" s="86" t="str">
        <f t="shared" si="372"/>
        <v>96,0576923076923</v>
      </c>
      <c r="Q462" s="4" t="str">
        <f t="shared" si="373"/>
        <v>1+2309,99522857475i</v>
      </c>
      <c r="R462" s="4">
        <f t="shared" si="384"/>
        <v>2309.9954450254</v>
      </c>
      <c r="S462" s="4">
        <f t="shared" si="385"/>
        <v>1.57036342549486</v>
      </c>
      <c r="T462" s="4" t="str">
        <f t="shared" si="374"/>
        <v>1+27,1347563759971i</v>
      </c>
      <c r="U462" s="4">
        <f t="shared" si="386"/>
        <v>27.1531766757541</v>
      </c>
      <c r="V462" s="4">
        <f t="shared" si="387"/>
        <v>1.53395989319607</v>
      </c>
      <c r="W462" t="str">
        <f t="shared" si="375"/>
        <v>1-12,8828562726177i</v>
      </c>
      <c r="X462" s="4">
        <f t="shared" si="388"/>
        <v>12.9216092550783</v>
      </c>
      <c r="Y462" s="4">
        <f t="shared" si="389"/>
        <v>-1.49332912627198</v>
      </c>
      <c r="Z462" t="str">
        <f t="shared" si="376"/>
        <v>0,380752999976169+22,0836665221191i</v>
      </c>
      <c r="AA462" s="4">
        <f t="shared" si="390"/>
        <v>22.0869486327821</v>
      </c>
      <c r="AB462" s="4">
        <f t="shared" si="391"/>
        <v>1.55355664976498</v>
      </c>
      <c r="AC462" s="67" t="str">
        <f t="shared" si="392"/>
        <v>-0,659453216379495-0,0384919534173064i</v>
      </c>
      <c r="AD462" s="68">
        <f t="shared" si="393"/>
        <v>-3.60154892675996</v>
      </c>
      <c r="AE462" s="31">
        <f t="shared" si="394"/>
        <v>-176.659464385449</v>
      </c>
      <c r="AF462" s="32" t="str">
        <f t="shared" si="395"/>
        <v>236,914774604583</v>
      </c>
      <c r="AG462" s="32" t="str">
        <f t="shared" si="377"/>
        <v>1+570,446582904483i</v>
      </c>
      <c r="AH462" s="32">
        <f t="shared" si="396"/>
        <v>570.447459410068</v>
      </c>
      <c r="AI462" s="32">
        <f t="shared" si="397"/>
        <v>1.56904331607379</v>
      </c>
      <c r="AJ462" s="32" t="str">
        <f t="shared" si="378"/>
        <v>1+27,1347563759971i</v>
      </c>
      <c r="AK462" s="32">
        <f t="shared" si="398"/>
        <v>27.1531766757541</v>
      </c>
      <c r="AL462" s="32">
        <f t="shared" si="399"/>
        <v>1.53395989319607</v>
      </c>
      <c r="AM462" s="32" t="str">
        <f t="shared" si="379"/>
        <v>1-1,28986309119102i</v>
      </c>
      <c r="AN462" s="32">
        <f t="shared" si="400"/>
        <v>1.63209889222953</v>
      </c>
      <c r="AO462" s="32">
        <f t="shared" si="401"/>
        <v>-0.91131379941381</v>
      </c>
      <c r="AP462" s="30" t="str">
        <f t="shared" si="402"/>
        <v>10,759937500523-14,9325121897932i</v>
      </c>
      <c r="AQ462" s="32">
        <f t="shared" si="403"/>
        <v>25.2988722087176</v>
      </c>
      <c r="AR462" s="31">
        <f t="shared" si="404"/>
        <v>-54.2245665802091</v>
      </c>
      <c r="AS462" t="str">
        <f t="shared" si="380"/>
        <v>-0,000272527472527473</v>
      </c>
      <c r="AT462" t="str">
        <f t="shared" si="381"/>
        <v>0,388850749852457i</v>
      </c>
      <c r="AU462">
        <f t="shared" si="405"/>
        <v>0.388850749852457</v>
      </c>
      <c r="AV462">
        <f t="shared" si="406"/>
        <v>1.5707963267949</v>
      </c>
      <c r="AW462" t="str">
        <f t="shared" si="382"/>
        <v>1+19,9084451695096i</v>
      </c>
      <c r="AX462">
        <f t="shared" si="407"/>
        <v>19.9335443177416</v>
      </c>
      <c r="AY462">
        <f t="shared" si="408"/>
        <v>1.5206085674424</v>
      </c>
      <c r="AZ462" t="str">
        <f t="shared" si="383"/>
        <v>1+951,793112678468i</v>
      </c>
      <c r="BA462">
        <f t="shared" si="409"/>
        <v>951.79363800257</v>
      </c>
      <c r="BB462">
        <f t="shared" si="410"/>
        <v>1.56974567868794</v>
      </c>
      <c r="BC462" s="30" t="str">
        <f t="shared" si="411"/>
        <v>-0,00164369207760386+0,033424207265876i</v>
      </c>
      <c r="BD462" s="32">
        <f t="shared" si="412"/>
        <v>-29.5082876150904</v>
      </c>
      <c r="BE462" s="31">
        <f t="shared" si="413"/>
        <v>92.8153490918344</v>
      </c>
      <c r="BF462" s="30" t="str">
        <f t="shared" si="414"/>
        <v>0,00237050105640185-0,0219784320675333i</v>
      </c>
      <c r="BG462" s="68">
        <f t="shared" si="415"/>
        <v>-33.1098365418504</v>
      </c>
      <c r="BH462" s="31">
        <f t="shared" si="416"/>
        <v>-83.8441152936148</v>
      </c>
      <c r="BI462" s="30" t="str">
        <f t="shared" si="423"/>
        <v>0,481421358406745+0,384186833170439i</v>
      </c>
      <c r="BJ462" s="68">
        <f t="shared" si="417"/>
        <v>-4.20941540637284</v>
      </c>
      <c r="BK462" s="31">
        <f t="shared" si="424"/>
        <v>38.5907825116254</v>
      </c>
      <c r="BL462" s="32">
        <f t="shared" si="418"/>
        <v>-33.1098365418504</v>
      </c>
      <c r="BM462" s="31">
        <f t="shared" si="419"/>
        <v>-83.8441152936148</v>
      </c>
      <c r="BO462">
        <f t="shared" si="420"/>
        <v>0</v>
      </c>
      <c r="BP462">
        <f t="shared" si="421"/>
        <v>0</v>
      </c>
    </row>
    <row r="463" spans="14:68">
      <c r="N463" s="7">
        <v>45</v>
      </c>
      <c r="O463" s="18">
        <f t="shared" si="422"/>
        <v>281838.293126446</v>
      </c>
      <c r="P463" s="86" t="str">
        <f t="shared" si="372"/>
        <v>96,0576923076923</v>
      </c>
      <c r="Q463" s="4" t="str">
        <f t="shared" si="373"/>
        <v>1+2363,80192960252i</v>
      </c>
      <c r="R463" s="4">
        <f t="shared" si="384"/>
        <v>2363.80214112616</v>
      </c>
      <c r="S463" s="4">
        <f t="shared" si="385"/>
        <v>1.57037327953031</v>
      </c>
      <c r="T463" s="4" t="str">
        <f t="shared" si="374"/>
        <v>1+27,7668060468033i</v>
      </c>
      <c r="U463" s="4">
        <f t="shared" si="386"/>
        <v>27.7848073241618</v>
      </c>
      <c r="V463" s="4">
        <f t="shared" si="387"/>
        <v>1.53479766014987</v>
      </c>
      <c r="W463" t="str">
        <f t="shared" si="375"/>
        <v>1-13,1829365443298i</v>
      </c>
      <c r="X463" s="4">
        <f t="shared" si="388"/>
        <v>13.2208099574809</v>
      </c>
      <c r="Y463" s="4">
        <f t="shared" si="389"/>
        <v>-1.49508568632193</v>
      </c>
      <c r="Z463" t="str">
        <f t="shared" si="376"/>
        <v>0,351568787980172+22,5980611959496i</v>
      </c>
      <c r="AA463" s="4">
        <f t="shared" si="390"/>
        <v>22.600795791931</v>
      </c>
      <c r="AB463" s="4">
        <f t="shared" si="391"/>
        <v>1.5552401060616</v>
      </c>
      <c r="AC463" s="67" t="str">
        <f t="shared" si="392"/>
        <v>-0,659460692389219-0,036764200988789i</v>
      </c>
      <c r="AD463" s="68">
        <f t="shared" si="393"/>
        <v>-3.60274504090733</v>
      </c>
      <c r="AE463" s="31">
        <f t="shared" si="394"/>
        <v>-176.809126887538</v>
      </c>
      <c r="AF463" s="32" t="str">
        <f t="shared" si="395"/>
        <v>236,914774604583</v>
      </c>
      <c r="AG463" s="32" t="str">
        <f t="shared" si="377"/>
        <v>1+583,73399075666i</v>
      </c>
      <c r="AH463" s="32">
        <f t="shared" si="396"/>
        <v>583.734847310572</v>
      </c>
      <c r="AI463" s="32">
        <f t="shared" si="397"/>
        <v>1.56908321939052</v>
      </c>
      <c r="AJ463" s="32" t="str">
        <f t="shared" si="378"/>
        <v>1+27,7668060468033i</v>
      </c>
      <c r="AK463" s="32">
        <f t="shared" si="398"/>
        <v>27.7848073241618</v>
      </c>
      <c r="AL463" s="32">
        <f t="shared" si="399"/>
        <v>1.53479766014987</v>
      </c>
      <c r="AM463" s="32" t="str">
        <f t="shared" si="379"/>
        <v>1-1,31990786221736i</v>
      </c>
      <c r="AN463" s="32">
        <f t="shared" si="400"/>
        <v>1.65594588219036</v>
      </c>
      <c r="AO463" s="32">
        <f t="shared" si="401"/>
        <v>-0.922430738718073</v>
      </c>
      <c r="AP463" s="30" t="str">
        <f t="shared" si="402"/>
        <v>10,7599062211023-15,2620762199113i</v>
      </c>
      <c r="AQ463" s="32">
        <f t="shared" si="403"/>
        <v>25.4246010813637</v>
      </c>
      <c r="AR463" s="31">
        <f t="shared" si="404"/>
        <v>-54.8158060644152</v>
      </c>
      <c r="AS463" t="str">
        <f t="shared" si="380"/>
        <v>-0,000272527472527473</v>
      </c>
      <c r="AT463" t="str">
        <f t="shared" si="381"/>
        <v>0,397908247367137i</v>
      </c>
      <c r="AU463">
        <f t="shared" si="405"/>
        <v>0.397908247367137</v>
      </c>
      <c r="AV463">
        <f t="shared" si="406"/>
        <v>1.5707963267949</v>
      </c>
      <c r="AW463" t="str">
        <f t="shared" si="382"/>
        <v>1+20,3721724291648i</v>
      </c>
      <c r="AX463">
        <f t="shared" si="407"/>
        <v>20.3967009460751</v>
      </c>
      <c r="AY463">
        <f t="shared" si="408"/>
        <v>1.52174912778196</v>
      </c>
      <c r="AZ463" t="str">
        <f t="shared" si="383"/>
        <v>1+973,963222304962i</v>
      </c>
      <c r="BA463">
        <f t="shared" si="409"/>
        <v>973.963735671234</v>
      </c>
      <c r="BB463">
        <f t="shared" si="410"/>
        <v>1.56976959434165</v>
      </c>
      <c r="BC463" s="30" t="str">
        <f t="shared" si="411"/>
        <v>-0,00156989156947595+0,0326670020347177i</v>
      </c>
      <c r="BD463" s="32">
        <f t="shared" si="412"/>
        <v>-29.7077958775126</v>
      </c>
      <c r="BE463" s="31">
        <f t="shared" si="413"/>
        <v>92.7513700641197</v>
      </c>
      <c r="BF463" s="30" t="str">
        <f t="shared" si="414"/>
        <v>0,00223625800988815-0,0214848879709041i</v>
      </c>
      <c r="BG463" s="68">
        <f t="shared" si="415"/>
        <v>-33.3105409184199</v>
      </c>
      <c r="BH463" s="31">
        <f t="shared" si="416"/>
        <v>-84.0577568234181</v>
      </c>
      <c r="BI463" s="30" t="str">
        <f t="shared" si="423"/>
        <v>0,481674388864999+0,375453683208459i</v>
      </c>
      <c r="BJ463" s="68">
        <f t="shared" si="417"/>
        <v>-4.2831947961488</v>
      </c>
      <c r="BK463" s="31">
        <f t="shared" si="424"/>
        <v>37.9355639997045</v>
      </c>
      <c r="BL463" s="32">
        <f t="shared" si="418"/>
        <v>-33.3105409184199</v>
      </c>
      <c r="BM463" s="31">
        <f t="shared" si="419"/>
        <v>-84.0577568234181</v>
      </c>
      <c r="BO463">
        <f t="shared" si="420"/>
        <v>0</v>
      </c>
      <c r="BP463">
        <f t="shared" si="421"/>
        <v>0</v>
      </c>
    </row>
    <row r="464" spans="14:68">
      <c r="N464" s="7">
        <v>46</v>
      </c>
      <c r="O464" s="18">
        <f t="shared" si="422"/>
        <v>288403.150312661</v>
      </c>
      <c r="P464" s="86" t="str">
        <f t="shared" si="372"/>
        <v>96,0576923076923</v>
      </c>
      <c r="Q464" s="4" t="str">
        <f t="shared" si="373"/>
        <v>1+2418,86194970198i</v>
      </c>
      <c r="R464" s="4">
        <f t="shared" si="384"/>
        <v>2418.86215641075</v>
      </c>
      <c r="S464" s="4">
        <f t="shared" si="385"/>
        <v>1.57038290926061</v>
      </c>
      <c r="T464" s="4" t="str">
        <f t="shared" si="374"/>
        <v>1+28,4135780457127i</v>
      </c>
      <c r="U464" s="4">
        <f t="shared" si="386"/>
        <v>28.4311698204595</v>
      </c>
      <c r="V464" s="4">
        <f t="shared" si="387"/>
        <v>1.53561640605154</v>
      </c>
      <c r="W464" t="str">
        <f t="shared" si="375"/>
        <v>1-13,4900065834946i</v>
      </c>
      <c r="X464" s="4">
        <f t="shared" si="388"/>
        <v>13.5270202787875</v>
      </c>
      <c r="Y464" s="4">
        <f t="shared" si="389"/>
        <v>-1.49680271462561</v>
      </c>
      <c r="Z464" t="str">
        <f t="shared" si="376"/>
        <v>0,321009166446792+23,1244376609469i</v>
      </c>
      <c r="AA464" s="4">
        <f t="shared" si="390"/>
        <v>23.126665648553</v>
      </c>
      <c r="AB464" s="4">
        <f t="shared" si="391"/>
        <v>1.5569154033521</v>
      </c>
      <c r="AC464" s="67" t="str">
        <f t="shared" si="392"/>
        <v>-0,65946558138205-0,0350558836056064i</v>
      </c>
      <c r="AD464" s="68">
        <f t="shared" si="393"/>
        <v>-3.60390244371652</v>
      </c>
      <c r="AE464" s="31">
        <f t="shared" si="394"/>
        <v>-176.957133885063</v>
      </c>
      <c r="AF464" s="32" t="str">
        <f t="shared" si="395"/>
        <v>236,914774604583</v>
      </c>
      <c r="AG464" s="32" t="str">
        <f t="shared" si="377"/>
        <v>1+597,330902097369i</v>
      </c>
      <c r="AH464" s="32">
        <f t="shared" si="396"/>
        <v>597.331739153761</v>
      </c>
      <c r="AI464" s="32">
        <f t="shared" si="397"/>
        <v>1.56912221440213</v>
      </c>
      <c r="AJ464" s="32" t="str">
        <f t="shared" si="378"/>
        <v>1+28,4135780457127i</v>
      </c>
      <c r="AK464" s="32">
        <f t="shared" si="398"/>
        <v>28.4311698204595</v>
      </c>
      <c r="AL464" s="32">
        <f t="shared" si="399"/>
        <v>1.53561640605154</v>
      </c>
      <c r="AM464" s="32" t="str">
        <f t="shared" si="379"/>
        <v>1-1,3506524658633i</v>
      </c>
      <c r="AN464" s="32">
        <f t="shared" si="400"/>
        <v>1.68055410015346</v>
      </c>
      <c r="AO464" s="32">
        <f t="shared" si="401"/>
        <v>-0.93347862247288</v>
      </c>
      <c r="AP464" s="30" t="str">
        <f t="shared" si="402"/>
        <v>10,7598763494794-15,599732400034i</v>
      </c>
      <c r="AQ464" s="32">
        <f t="shared" si="403"/>
        <v>25.5524756181379</v>
      </c>
      <c r="AR464" s="31">
        <f t="shared" si="404"/>
        <v>-55.4041267410449</v>
      </c>
      <c r="AS464" t="str">
        <f t="shared" si="380"/>
        <v>-0,000272527472527473</v>
      </c>
      <c r="AT464" t="str">
        <f t="shared" si="381"/>
        <v>0,407176721101507i</v>
      </c>
      <c r="AU464">
        <f t="shared" si="405"/>
        <v>0.407176721101507</v>
      </c>
      <c r="AV464">
        <f t="shared" si="406"/>
        <v>1.5707963267949</v>
      </c>
      <c r="AW464" t="str">
        <f t="shared" si="382"/>
        <v>1+20,8467012842995i</v>
      </c>
      <c r="AX464">
        <f t="shared" si="407"/>
        <v>20.8706721127235</v>
      </c>
      <c r="AY464">
        <f t="shared" si="408"/>
        <v>1.52286384921763</v>
      </c>
      <c r="AZ464" t="str">
        <f t="shared" si="383"/>
        <v>1+996,64974012385i</v>
      </c>
      <c r="BA464">
        <f t="shared" si="409"/>
        <v>996.650241804485</v>
      </c>
      <c r="BB464">
        <f t="shared" si="410"/>
        <v>1.56979296560975</v>
      </c>
      <c r="BC464" s="30" t="str">
        <f t="shared" si="411"/>
        <v>-0,00149939702091079+0,0319267918538737i</v>
      </c>
      <c r="BD464" s="32">
        <f t="shared" si="412"/>
        <v>-29.9073262197447</v>
      </c>
      <c r="BE464" s="31">
        <f t="shared" si="413"/>
        <v>92.688840305547</v>
      </c>
      <c r="BF464" s="30" t="str">
        <f t="shared" si="414"/>
        <v>0,00210802262724727-0,0210020576641349i</v>
      </c>
      <c r="BG464" s="68">
        <f t="shared" si="415"/>
        <v>-33.5112286634612</v>
      </c>
      <c r="BH464" s="31">
        <f t="shared" si="416"/>
        <v>-84.268293579516</v>
      </c>
      <c r="BI464" s="30" t="str">
        <f t="shared" si="423"/>
        <v>0,481916082768237+0,366918524870864i</v>
      </c>
      <c r="BJ464" s="68">
        <f t="shared" si="417"/>
        <v>-4.35485060160683</v>
      </c>
      <c r="BK464" s="31">
        <f t="shared" si="424"/>
        <v>37.2847135645021</v>
      </c>
      <c r="BL464" s="32">
        <f t="shared" si="418"/>
        <v>-33.5112286634612</v>
      </c>
      <c r="BM464" s="31">
        <f t="shared" si="419"/>
        <v>-84.268293579516</v>
      </c>
      <c r="BO464">
        <f t="shared" si="420"/>
        <v>0</v>
      </c>
      <c r="BP464">
        <f t="shared" si="421"/>
        <v>0</v>
      </c>
    </row>
    <row r="465" spans="14:68">
      <c r="N465" s="7">
        <v>47</v>
      </c>
      <c r="O465" s="18">
        <f t="shared" si="422"/>
        <v>295120.922666639</v>
      </c>
      <c r="P465" s="86" t="str">
        <f t="shared" si="372"/>
        <v>96,0576923076923</v>
      </c>
      <c r="Q465" s="4" t="str">
        <f t="shared" si="373"/>
        <v>1+2475,2044824246i</v>
      </c>
      <c r="R465" s="4">
        <f t="shared" si="384"/>
        <v>2475.2046844281</v>
      </c>
      <c r="S465" s="4">
        <f t="shared" si="385"/>
        <v>1.57039231979156</v>
      </c>
      <c r="T465" s="4" t="str">
        <f t="shared" si="374"/>
        <v>1+29,0754152998001i</v>
      </c>
      <c r="U465" s="4">
        <f t="shared" si="386"/>
        <v>29.0926068762469</v>
      </c>
      <c r="V465" s="4">
        <f t="shared" si="387"/>
        <v>1.53641656061776</v>
      </c>
      <c r="W465" t="str">
        <f t="shared" si="375"/>
        <v>1-13,8042292027112i</v>
      </c>
      <c r="X465" s="4">
        <f t="shared" si="388"/>
        <v>13.8404025910009</v>
      </c>
      <c r="Y465" s="4">
        <f t="shared" si="389"/>
        <v>-1.49848108105454</v>
      </c>
      <c r="Z465" t="str">
        <f t="shared" si="376"/>
        <v>0,289009314321561+23,6630750088801i</v>
      </c>
      <c r="AA465" s="4">
        <f t="shared" si="390"/>
        <v>23.6648398528207</v>
      </c>
      <c r="AB465" s="4">
        <f t="shared" si="391"/>
        <v>1.55858341934317</v>
      </c>
      <c r="AC465" s="67" t="str">
        <f t="shared" si="392"/>
        <v>-0,659467893278988-0,0333661084858186i</v>
      </c>
      <c r="AD465" s="68">
        <f t="shared" si="393"/>
        <v>-3.60502355222741</v>
      </c>
      <c r="AE465" s="31">
        <f t="shared" si="394"/>
        <v>-177.10356117847</v>
      </c>
      <c r="AF465" s="32" t="str">
        <f t="shared" si="395"/>
        <v>236,914774604583</v>
      </c>
      <c r="AG465" s="32" t="str">
        <f t="shared" si="377"/>
        <v>1+611,244526188978i</v>
      </c>
      <c r="AH465" s="32">
        <f t="shared" si="396"/>
        <v>611.245344191666</v>
      </c>
      <c r="AI465" s="32">
        <f t="shared" si="397"/>
        <v>1.56916032178384</v>
      </c>
      <c r="AJ465" s="32" t="str">
        <f t="shared" si="378"/>
        <v>1+29,0754152998001i</v>
      </c>
      <c r="AK465" s="32">
        <f t="shared" si="398"/>
        <v>29.0926068762469</v>
      </c>
      <c r="AL465" s="32">
        <f t="shared" si="399"/>
        <v>1.53641656061776</v>
      </c>
      <c r="AM465" s="32" t="str">
        <f t="shared" si="379"/>
        <v>1-1,38211320332463i</v>
      </c>
      <c r="AN465" s="32">
        <f t="shared" si="400"/>
        <v>1.70594164812407</v>
      </c>
      <c r="AO465" s="32">
        <f t="shared" si="401"/>
        <v>-0.944452521139264</v>
      </c>
      <c r="AP465" s="30" t="str">
        <f t="shared" si="402"/>
        <v>10,7598478222936-15,9456597602593i</v>
      </c>
      <c r="AQ465" s="32">
        <f t="shared" si="403"/>
        <v>25.6824678312583</v>
      </c>
      <c r="AR465" s="31">
        <f t="shared" si="404"/>
        <v>-55.9892227319704</v>
      </c>
      <c r="AS465" t="str">
        <f t="shared" si="380"/>
        <v>-0,000272527472527473</v>
      </c>
      <c r="AT465" t="str">
        <f t="shared" si="381"/>
        <v>0,416661085323027i</v>
      </c>
      <c r="AU465">
        <f t="shared" si="405"/>
        <v>0.416661085323027</v>
      </c>
      <c r="AV465">
        <f t="shared" si="406"/>
        <v>1.5707963267949</v>
      </c>
      <c r="AW465" t="str">
        <f t="shared" si="382"/>
        <v>1+21,3322833363939i</v>
      </c>
      <c r="AX465">
        <f t="shared" si="407"/>
        <v>21.3557091276358</v>
      </c>
      <c r="AY465">
        <f t="shared" si="408"/>
        <v>1.52395331170193</v>
      </c>
      <c r="AZ465" t="str">
        <f t="shared" si="383"/>
        <v>1+1019,86469482717i</v>
      </c>
      <c r="BA465">
        <f t="shared" si="409"/>
        <v>1019.86518508816</v>
      </c>
      <c r="BB465">
        <f t="shared" si="410"/>
        <v>1.5698158048839</v>
      </c>
      <c r="BC465" s="30" t="str">
        <f t="shared" si="411"/>
        <v>-0,00143206100814397+0,0312032058762726i</v>
      </c>
      <c r="BD465" s="32">
        <f t="shared" si="412"/>
        <v>-30.1068776525993</v>
      </c>
      <c r="BE465" s="31">
        <f t="shared" si="413"/>
        <v>92.6277272972746</v>
      </c>
      <c r="BF465" s="30" t="str">
        <f t="shared" si="414"/>
        <v>0,00198552780846073-0,02052973013982i</v>
      </c>
      <c r="BG465" s="68">
        <f t="shared" si="415"/>
        <v>-33.7119012048267</v>
      </c>
      <c r="BH465" s="31">
        <f t="shared" si="416"/>
        <v>-84.4758338811951</v>
      </c>
      <c r="BI465" s="30" t="str">
        <f t="shared" si="423"/>
        <v>0,482146945812497+0,358576904388188i</v>
      </c>
      <c r="BJ465" s="68">
        <f t="shared" si="417"/>
        <v>-4.42440982134096</v>
      </c>
      <c r="BK465" s="31">
        <f t="shared" si="424"/>
        <v>36.6385045653042</v>
      </c>
      <c r="BL465" s="32">
        <f t="shared" si="418"/>
        <v>-33.7119012048267</v>
      </c>
      <c r="BM465" s="31">
        <f t="shared" si="419"/>
        <v>-84.4758338811951</v>
      </c>
      <c r="BO465">
        <f t="shared" si="420"/>
        <v>0</v>
      </c>
      <c r="BP465">
        <f t="shared" si="421"/>
        <v>0</v>
      </c>
    </row>
    <row r="466" spans="14:68">
      <c r="N466" s="7">
        <v>48</v>
      </c>
      <c r="O466" s="18">
        <f t="shared" si="422"/>
        <v>301995.172040202</v>
      </c>
      <c r="P466" s="86" t="str">
        <f t="shared" si="372"/>
        <v>96,0576923076923</v>
      </c>
      <c r="Q466" s="4" t="str">
        <f t="shared" si="373"/>
        <v>1+2532,859401327i</v>
      </c>
      <c r="R466" s="4">
        <f t="shared" si="384"/>
        <v>2532.85959873234</v>
      </c>
      <c r="S466" s="4">
        <f t="shared" si="385"/>
        <v>1.57040151611274</v>
      </c>
      <c r="T466" s="4" t="str">
        <f t="shared" si="374"/>
        <v>1+29,752668723938i</v>
      </c>
      <c r="U466" s="4">
        <f t="shared" si="386"/>
        <v>29.7694691957448</v>
      </c>
      <c r="V466" s="4">
        <f t="shared" si="387"/>
        <v>1.53719854400035</v>
      </c>
      <c r="W466" t="str">
        <f t="shared" si="375"/>
        <v>1-14,1257710069717i</v>
      </c>
      <c r="X466" s="4">
        <f t="shared" si="388"/>
        <v>14.1611230678009</v>
      </c>
      <c r="Y466" s="4">
        <f t="shared" si="389"/>
        <v>-1.50012163765712</v>
      </c>
      <c r="Z466" t="str">
        <f t="shared" si="376"/>
        <v>0,255501355627822+24,2142588324008i</v>
      </c>
      <c r="AA466" s="4">
        <f t="shared" si="390"/>
        <v>24.2156067804469</v>
      </c>
      <c r="AB466" s="4">
        <f t="shared" si="391"/>
        <v>1.56024502825303</v>
      </c>
      <c r="AC466" s="67" t="str">
        <f t="shared" si="392"/>
        <v>-0,659467632624781-0,0316939924687927i</v>
      </c>
      <c r="AD466" s="68">
        <f t="shared" si="393"/>
        <v>-3.60611070964435</v>
      </c>
      <c r="AE466" s="31">
        <f t="shared" si="394"/>
        <v>-177.248483888505</v>
      </c>
      <c r="AF466" s="32" t="str">
        <f t="shared" si="395"/>
        <v>236,914774604583</v>
      </c>
      <c r="AG466" s="32" t="str">
        <f t="shared" si="377"/>
        <v>1+625,482240219151i</v>
      </c>
      <c r="AH466" s="32">
        <f t="shared" si="396"/>
        <v>625.483039601849</v>
      </c>
      <c r="AI466" s="32">
        <f t="shared" si="397"/>
        <v>1.56919756174022</v>
      </c>
      <c r="AJ466" s="32" t="str">
        <f t="shared" si="378"/>
        <v>1+29,752668723938i</v>
      </c>
      <c r="AK466" s="32">
        <f t="shared" si="398"/>
        <v>29.7694691957448</v>
      </c>
      <c r="AL466" s="32">
        <f t="shared" si="399"/>
        <v>1.53719854400035</v>
      </c>
      <c r="AM466" s="32" t="str">
        <f t="shared" si="379"/>
        <v>1-1,4143067555008i</v>
      </c>
      <c r="AN466" s="32">
        <f t="shared" si="400"/>
        <v>1.73212690027469</v>
      </c>
      <c r="AO466" s="32">
        <f t="shared" si="401"/>
        <v>-0.955347681135751</v>
      </c>
      <c r="AP466" s="30" t="str">
        <f t="shared" si="402"/>
        <v>10,759820579036-16,3000417161531i</v>
      </c>
      <c r="AQ466" s="32">
        <f t="shared" si="403"/>
        <v>25.8145480946266</v>
      </c>
      <c r="AR466" s="31">
        <f t="shared" si="404"/>
        <v>-56.570798761747</v>
      </c>
      <c r="AS466" t="str">
        <f t="shared" si="380"/>
        <v>-0,000272527472527473</v>
      </c>
      <c r="AT466" t="str">
        <f t="shared" si="381"/>
        <v>0,426366368767147i</v>
      </c>
      <c r="AU466">
        <f t="shared" si="405"/>
        <v>0.426366368767147</v>
      </c>
      <c r="AV466">
        <f t="shared" si="406"/>
        <v>1.5707963267949</v>
      </c>
      <c r="AW466" t="str">
        <f t="shared" si="382"/>
        <v>1+21,8291760474794i</v>
      </c>
      <c r="AX466">
        <f t="shared" si="407"/>
        <v>21.8520691677436</v>
      </c>
      <c r="AY466">
        <f t="shared" si="408"/>
        <v>1.52501808253149</v>
      </c>
      <c r="AZ466" t="str">
        <f t="shared" si="383"/>
        <v>1+1043,62039529119i</v>
      </c>
      <c r="BA466">
        <f t="shared" si="409"/>
        <v>1043.62087439249</v>
      </c>
      <c r="BB466">
        <f t="shared" si="410"/>
        <v>1.56983812427369</v>
      </c>
      <c r="BC466" s="30" t="str">
        <f t="shared" si="411"/>
        <v>-0,00136774262271792+0,0304958806367211i</v>
      </c>
      <c r="BD466" s="32">
        <f t="shared" si="412"/>
        <v>-30.3064492310089</v>
      </c>
      <c r="BE466" s="31">
        <f t="shared" si="413"/>
        <v>92.5679992294282</v>
      </c>
      <c r="BF466" s="30" t="str">
        <f t="shared" si="414"/>
        <v>0,00186851820067324-0,0200676969839227i</v>
      </c>
      <c r="BG466" s="68">
        <f t="shared" si="415"/>
        <v>-33.9125599406532</v>
      </c>
      <c r="BH466" s="31">
        <f t="shared" si="416"/>
        <v>-84.6804846590772</v>
      </c>
      <c r="BI466" s="30" t="str">
        <f t="shared" si="423"/>
        <v>0,482367461330635+0,35042446585808i</v>
      </c>
      <c r="BJ466" s="68">
        <f t="shared" si="417"/>
        <v>-4.49190113638224</v>
      </c>
      <c r="BK466" s="31">
        <f t="shared" si="424"/>
        <v>35.9972004676811</v>
      </c>
      <c r="BL466" s="32">
        <f t="shared" si="418"/>
        <v>-33.9125599406532</v>
      </c>
      <c r="BM466" s="31">
        <f t="shared" si="419"/>
        <v>-84.6804846590772</v>
      </c>
      <c r="BO466">
        <f t="shared" si="420"/>
        <v>0</v>
      </c>
      <c r="BP466">
        <f t="shared" si="421"/>
        <v>0</v>
      </c>
    </row>
    <row r="467" spans="14:68">
      <c r="N467" s="7">
        <v>49</v>
      </c>
      <c r="O467" s="18">
        <f t="shared" si="422"/>
        <v>309029.543251359</v>
      </c>
      <c r="P467" s="86" t="str">
        <f t="shared" ref="P467:P530" si="425">COMPLEX(Adc,0)</f>
        <v>96,0576923076923</v>
      </c>
      <c r="Q467" s="4" t="str">
        <f t="shared" ref="Q467:Q530" si="426">IMSUM(COMPLEX(1,0),IMDIV(COMPLEX(0,2*PI()*O467),COMPLEX(wp_lf,0)))</f>
        <v>1+2591,85727581035i</v>
      </c>
      <c r="R467" s="4">
        <f t="shared" si="384"/>
        <v>2591.8574687222</v>
      </c>
      <c r="S467" s="4">
        <f t="shared" si="385"/>
        <v>1.57041050310016</v>
      </c>
      <c r="T467" s="4" t="str">
        <f t="shared" ref="T467:T530" si="427">IMSUM(COMPLEX(1,0),IMDIV(COMPLEX(0,2*PI()*O467),COMPLEX(wz_esr,0)))</f>
        <v>1+30,4456974068565i</v>
      </c>
      <c r="U467" s="4">
        <f t="shared" si="386"/>
        <v>30.4621156617506</v>
      </c>
      <c r="V467" s="4">
        <f t="shared" si="387"/>
        <v>1.53796276698962</v>
      </c>
      <c r="W467" t="str">
        <f t="shared" ref="W467:W530" si="428">IMSUB(COMPLEX(1,0),IMDIV(COMPLEX(0,2*PI()*O467),COMPLEX(wz_rhp,0)))</f>
        <v>1-14,4548024819968i</v>
      </c>
      <c r="X467" s="4">
        <f t="shared" si="388"/>
        <v>14.4893517727171</v>
      </c>
      <c r="Y467" s="4">
        <f t="shared" si="389"/>
        <v>-1.50172521893485</v>
      </c>
      <c r="Z467" t="str">
        <f t="shared" ref="Z467:Z530" si="429">IMSUM(COMPLEX(1,0),IMDIV(COMPLEX(0,2*PI()*O467),COMPLEX(Q*(wsl/2),0)),IMDIV(IMPOWER(COMPLEX(0,2*PI()*O467),2),IMPOWER(COMPLEX(wsl/2,0),2)))</f>
        <v>0,220414215492699+24,7782813764681i</v>
      </c>
      <c r="AA467" s="4">
        <f t="shared" si="390"/>
        <v>24.7792617000147</v>
      </c>
      <c r="AB467" s="4">
        <f t="shared" si="391"/>
        <v>1.56190110122677</v>
      </c>
      <c r="AC467" s="67" t="str">
        <f t="shared" si="392"/>
        <v>-0,659464798594526-0,0300386616071605i</v>
      </c>
      <c r="AD467" s="68">
        <f t="shared" si="393"/>
        <v>-3.60716619001665</v>
      </c>
      <c r="AE467" s="31">
        <f t="shared" si="394"/>
        <v>-177.391976484344</v>
      </c>
      <c r="AF467" s="32" t="str">
        <f t="shared" si="395"/>
        <v>236,914774604583</v>
      </c>
      <c r="AG467" s="32" t="str">
        <f t="shared" ref="AG467:AG530" si="430">IMSUM(COMPLEX(1,0),IMDIV(COMPLEX(0,2*PI()*O467),COMPLEX(wp_lf_DCM,0)))</f>
        <v>1+640,051593212324i</v>
      </c>
      <c r="AH467" s="32">
        <f t="shared" si="396"/>
        <v>640.052374398872</v>
      </c>
      <c r="AI467" s="32">
        <f t="shared" si="397"/>
        <v>1.56923395401599</v>
      </c>
      <c r="AJ467" s="32" t="str">
        <f t="shared" ref="AJ467:AJ530" si="431">IMSUM(COMPLEX(1,0),IMDIV(COMPLEX(0,2*PI()*O467),COMPLEX(wz1_dcm,0)))</f>
        <v>1+30,4456974068565i</v>
      </c>
      <c r="AK467" s="32">
        <f t="shared" si="398"/>
        <v>30.4621156617506</v>
      </c>
      <c r="AL467" s="32">
        <f t="shared" si="399"/>
        <v>1.53796276698962</v>
      </c>
      <c r="AM467" s="32" t="str">
        <f t="shared" ref="AM467:AM530" si="432">IMSUB(COMPLEX(1,0),IMDIV(COMPLEX(0,2*PI()*O467),COMPLEX(wz2_dcm,0)))</f>
        <v>1-1,4472501918393i</v>
      </c>
      <c r="AN467" s="32">
        <f t="shared" si="400"/>
        <v>1.75912851087659</v>
      </c>
      <c r="AO467" s="32">
        <f t="shared" si="401"/>
        <v>-0.966159532981556</v>
      </c>
      <c r="AP467" s="30" t="str">
        <f t="shared" si="402"/>
        <v>10,7597945619208-16,6630661659997i</v>
      </c>
      <c r="AQ467" s="32">
        <f t="shared" si="403"/>
        <v>25.9486852492108</v>
      </c>
      <c r="AR467" s="31">
        <f t="shared" si="404"/>
        <v>-57.1485706131491</v>
      </c>
      <c r="AS467" t="str">
        <f t="shared" ref="AS467:AS530" si="433">COMPLEX(Adc_ea,0)</f>
        <v>-0,000272527472527473</v>
      </c>
      <c r="AT467" t="str">
        <f t="shared" ref="AT467:AT530" si="434">COMPLEX(0,2*PI()*O467*wp0_ea)</f>
        <v>0,436297717303613i</v>
      </c>
      <c r="AU467">
        <f t="shared" si="405"/>
        <v>0.436297717303613</v>
      </c>
      <c r="AV467">
        <f t="shared" si="406"/>
        <v>1.5707963267949</v>
      </c>
      <c r="AW467" t="str">
        <f t="shared" ref="AW467:AW530" si="435">IMSUM(COMPLEX(1,0),IMDIV(COMPLEX(0,2*PI()*O467),COMPLEX(wp1_ea,0)))</f>
        <v>1+22,3376428766485i</v>
      </c>
      <c r="AX467">
        <f t="shared" si="407"/>
        <v>22.3600154133374</v>
      </c>
      <c r="AY467">
        <f t="shared" si="408"/>
        <v>1.52605871659905</v>
      </c>
      <c r="AZ467" t="str">
        <f t="shared" ref="AZ467:AZ530" si="436">IMSUM(COMPLEX(1,0),IMDIV(COMPLEX(0,2*PI()*O467),COMPLEX(wz_ea,0)))</f>
        <v>1+1067,92943710275i</v>
      </c>
      <c r="BA467">
        <f t="shared" si="409"/>
        <v>1067.92990529837</v>
      </c>
      <c r="BB467">
        <f t="shared" si="410"/>
        <v>1.56985993561306</v>
      </c>
      <c r="BC467" s="30" t="str">
        <f t="shared" si="411"/>
        <v>-0,00130630718871424+0,0298044599536456i</v>
      </c>
      <c r="BD467" s="32">
        <f t="shared" si="412"/>
        <v>-30.5060400520754</v>
      </c>
      <c r="BE467" s="31">
        <f t="shared" si="413"/>
        <v>92.5096249870311</v>
      </c>
      <c r="BF467" s="30" t="str">
        <f t="shared" si="414"/>
        <v>0,00175674969403974-0,0196157524609527i</v>
      </c>
      <c r="BG467" s="68">
        <f t="shared" si="415"/>
        <v>-34.1132062420921</v>
      </c>
      <c r="BH467" s="31">
        <f t="shared" si="416"/>
        <v>-84.8823514973129</v>
      </c>
      <c r="BI467" s="30" t="str">
        <f t="shared" si="423"/>
        <v>0,482578091264159+0,342456949248889i</v>
      </c>
      <c r="BJ467" s="68">
        <f t="shared" si="417"/>
        <v>-4.55735480286459</v>
      </c>
      <c r="BK467" s="31">
        <f t="shared" si="424"/>
        <v>35.361054373882</v>
      </c>
      <c r="BL467" s="32">
        <f t="shared" si="418"/>
        <v>-34.1132062420921</v>
      </c>
      <c r="BM467" s="31">
        <f t="shared" si="419"/>
        <v>-84.8823514973129</v>
      </c>
      <c r="BO467">
        <f t="shared" si="420"/>
        <v>0</v>
      </c>
      <c r="BP467">
        <f t="shared" si="421"/>
        <v>0</v>
      </c>
    </row>
    <row r="468" spans="14:68">
      <c r="N468" s="7">
        <v>50</v>
      </c>
      <c r="O468" s="18">
        <f t="shared" si="422"/>
        <v>316227.766016838</v>
      </c>
      <c r="P468" s="86" t="str">
        <f t="shared" si="425"/>
        <v>96,0576923076923</v>
      </c>
      <c r="Q468" s="4" t="str">
        <f t="shared" si="426"/>
        <v>1+2652,22938732861i</v>
      </c>
      <c r="R468" s="4">
        <f t="shared" ref="R468:R531" si="437">IMABS(Q468)</f>
        <v>2652.22957584925</v>
      </c>
      <c r="S468" s="4">
        <f t="shared" ref="S468:S531" si="438">IMARGUMENT(Q468)</f>
        <v>1.57041928551883</v>
      </c>
      <c r="T468" s="4" t="str">
        <f t="shared" si="427"/>
        <v>1+31,1548688015366i</v>
      </c>
      <c r="U468" s="4">
        <f t="shared" ref="U468:U531" si="439">IMABS(T468)</f>
        <v>31.1709135259292</v>
      </c>
      <c r="V468" s="4">
        <f t="shared" ref="V468:V531" si="440">IMARGUMENT(T468)</f>
        <v>1.53870963121399</v>
      </c>
      <c r="W468" t="str">
        <f t="shared" si="428"/>
        <v>1-14,7914980846298i</v>
      </c>
      <c r="X468" s="4">
        <f t="shared" ref="X468:X531" si="441">IMABS(W468)</f>
        <v>14.8252627493615</v>
      </c>
      <c r="Y468" s="4">
        <f t="shared" ref="Y468:Y531" si="442">IMARGUMENT(W468)</f>
        <v>-1.50329264212071</v>
      </c>
      <c r="Z468" t="str">
        <f t="shared" si="429"/>
        <v>0,183673469387751+25,3554416933005i</v>
      </c>
      <c r="AA468" s="4">
        <f t="shared" ref="AA468:AA531" si="443">IMABS(Z468)</f>
        <v>25.356106944989</v>
      </c>
      <c r="AB468" s="4">
        <f t="shared" ref="AB468:AB531" si="444">IMARGUMENT(Z468)</f>
        <v>1.56355250675146</v>
      </c>
      <c r="AC468" s="67" t="str">
        <f t="shared" ref="AC468:AC531" si="445">(IMDIV(IMPRODUCT(P468,T468,W468),IMPRODUCT(Q468,Z468)))</f>
        <v>-0,659459384989664-0,0283992507629884i</v>
      </c>
      <c r="AD468" s="68">
        <f t="shared" ref="AD468:AD531" si="446">20*LOG(IMABS(AC468))</f>
        <v>-3.60819220279518</v>
      </c>
      <c r="AE468" s="31">
        <f t="shared" ref="AE468:AE531" si="447">(180/PI())*IMARGUMENT(AC468)</f>
        <v>-177.534112812032</v>
      </c>
      <c r="AF468" s="32" t="str">
        <f t="shared" ref="AF468:AF531" si="448">COMPLEX($B$68,0)</f>
        <v>236,914774604583</v>
      </c>
      <c r="AG468" s="32" t="str">
        <f t="shared" si="430"/>
        <v>1+654,960310032302i</v>
      </c>
      <c r="AH468" s="32">
        <f t="shared" ref="AH468:AH531" si="449">IMABS(AG468)</f>
        <v>654.961073436894</v>
      </c>
      <c r="AI468" s="32">
        <f t="shared" ref="AI468:AI531" si="450">IMARGUMENT(AG468)</f>
        <v>1.56926951790643</v>
      </c>
      <c r="AJ468" s="32" t="str">
        <f t="shared" si="431"/>
        <v>1+31,1548688015366i</v>
      </c>
      <c r="AK468" s="32">
        <f t="shared" ref="AK468:AK531" si="451">IMABS(AJ468)</f>
        <v>31.1709135259292</v>
      </c>
      <c r="AL468" s="32">
        <f t="shared" ref="AL468:AL531" si="452">IMARGUMENT(AJ468)</f>
        <v>1.53870963121399</v>
      </c>
      <c r="AM468" s="32" t="str">
        <f t="shared" si="432"/>
        <v>1-1,48096097938613i</v>
      </c>
      <c r="AN468" s="32">
        <f t="shared" ref="AN468:AN531" si="453">IMABS(AM468)</f>
        <v>1.7869654228508</v>
      </c>
      <c r="AO468" s="32">
        <f t="shared" ref="AO468:AO531" si="454">IMARGUMENT(AM468)</f>
        <v>-0.976883698456057</v>
      </c>
      <c r="AP468" s="30" t="str">
        <f t="shared" ref="AP468:AP531" si="455">(IMDIV(IMPRODUCT(AF468,AJ468,AM468),IMPRODUCT(AG468)))</f>
        <v>10,7597697157631-17,0349255904292i</v>
      </c>
      <c r="AQ468" s="32">
        <f t="shared" ref="AQ468:AQ531" si="456">20*LOG(IMABS(AP468))</f>
        <v>26.0848467116366</v>
      </c>
      <c r="AR468" s="31">
        <f t="shared" ref="AR468:AR531" si="457">(180/PI())*IMARGUMENT(AP468)</f>
        <v>-57.7222655265373</v>
      </c>
      <c r="AS468" t="str">
        <f t="shared" si="433"/>
        <v>-0,000272527472527473</v>
      </c>
      <c r="AT468" t="str">
        <f t="shared" si="434"/>
        <v>0,446460396664877i</v>
      </c>
      <c r="AU468">
        <f t="shared" ref="AU468:AU531" si="458">IMABS(AT468)</f>
        <v>0.446460396664877</v>
      </c>
      <c r="AV468">
        <f t="shared" ref="AV468:AV531" si="459">IMARGUMENT(AT468)</f>
        <v>1.5707963267949</v>
      </c>
      <c r="AW468" t="str">
        <f t="shared" si="435"/>
        <v>1+22,8579534197445i</v>
      </c>
      <c r="AX468">
        <f t="shared" ref="AX468:AX531" si="460">IMABS(AW468)</f>
        <v>22.8798171876265</v>
      </c>
      <c r="AY468">
        <f t="shared" ref="AY468:AY531" si="461">IMARGUMENT(AW468)</f>
        <v>1.52707575664205</v>
      </c>
      <c r="AZ468" t="str">
        <f t="shared" si="436"/>
        <v>1+1092,80470923757i</v>
      </c>
      <c r="BA468">
        <f t="shared" ref="BA468:BA531" si="462">IMABS(AZ468)</f>
        <v>1092.80516677577</v>
      </c>
      <c r="BB468">
        <f t="shared" ref="BB468:BB531" si="463">IMARGUMENT(AZ468)</f>
        <v>1.5698812504666</v>
      </c>
      <c r="BC468" s="30" t="str">
        <f t="shared" ref="BC468:BC531" si="464">IMPRODUCT(AS468,IMDIV(AZ468,IMPRODUCT(AT468,AW468)))</f>
        <v>-0,00124762599180132+0,0291285948285155i</v>
      </c>
      <c r="BD468" s="32">
        <f t="shared" ref="BD468:BD531" si="465">20*LOG(IMABS(BC468))</f>
        <v>-30.7056492532049</v>
      </c>
      <c r="BE468" s="31">
        <f t="shared" ref="BE468:BE531" si="466">(180/PI())*IMARGUMENT(BC468)</f>
        <v>92.4525741361198</v>
      </c>
      <c r="BF468" s="30" t="str">
        <f t="shared" ref="BF468:BF531" si="467">IMPRODUCT(AC468,BC468)</f>
        <v>0,00164998893815892-0,0191736935878264i</v>
      </c>
      <c r="BG468" s="68">
        <f t="shared" ref="BG468:BG531" si="468">20*LOG(IMABS(BF468))</f>
        <v>-34.313841456</v>
      </c>
      <c r="BH468" s="31">
        <f t="shared" ref="BH468:BH531" si="469">(180/PI())*IMARGUMENT(BF468)</f>
        <v>-85.0815386759121</v>
      </c>
      <c r="BI468" s="30" t="str">
        <f t="shared" si="423"/>
        <v>0,48277927709434+0,334670188433616i</v>
      </c>
      <c r="BJ468" s="68">
        <f t="shared" ref="BJ468:BJ531" si="470">20*LOG(IMABS(BI468))</f>
        <v>-4.62080254156833</v>
      </c>
      <c r="BK468" s="31">
        <f t="shared" si="424"/>
        <v>34.7303086095826</v>
      </c>
      <c r="BL468" s="32">
        <f t="shared" ref="BL468:BL531" si="471">IF($B$31=0,BJ468,BG468)</f>
        <v>-34.313841456</v>
      </c>
      <c r="BM468" s="31">
        <f t="shared" ref="BM468:BM531" si="472">IF($B$31=0,BK468,BH468)</f>
        <v>-85.0815386759121</v>
      </c>
      <c r="BO468">
        <f t="shared" ref="BO468:BO531" si="473">SUM((BL469&lt;0)*(BL468&gt;0))*O468</f>
        <v>0</v>
      </c>
      <c r="BP468">
        <f t="shared" ref="BP468:BP531" si="474">IF(BO468&gt;0,BM468,0)</f>
        <v>0</v>
      </c>
    </row>
    <row r="469" spans="14:68">
      <c r="N469" s="7">
        <v>51</v>
      </c>
      <c r="O469" s="18">
        <f t="shared" si="422"/>
        <v>323593.656929628</v>
      </c>
      <c r="P469" s="86" t="str">
        <f t="shared" si="425"/>
        <v>96,0576923076923</v>
      </c>
      <c r="Q469" s="4" t="str">
        <f t="shared" si="426"/>
        <v>1+2714,00774597444i</v>
      </c>
      <c r="R469" s="4">
        <f t="shared" si="437"/>
        <v>2714.00793020383</v>
      </c>
      <c r="S469" s="4">
        <f t="shared" si="438"/>
        <v>1.5704278680253</v>
      </c>
      <c r="T469" s="4" t="str">
        <f t="shared" si="427"/>
        <v>1+31,8805589200387i</v>
      </c>
      <c r="U469" s="4">
        <f t="shared" si="439"/>
        <v>31.8962386035416</v>
      </c>
      <c r="V469" s="4">
        <f t="shared" si="440"/>
        <v>1.53943952933601</v>
      </c>
      <c r="W469" t="str">
        <f t="shared" si="428"/>
        <v>1-15,1360363353358i</v>
      </c>
      <c r="X469" s="4">
        <f t="shared" si="441"/>
        <v>15.1690341137663</v>
      </c>
      <c r="Y469" s="4">
        <f t="shared" si="442"/>
        <v>-1.50482470745893</v>
      </c>
      <c r="Z469" t="str">
        <f t="shared" si="429"/>
        <v>0,145201185264569+25,9460458009376i</v>
      </c>
      <c r="AA469" s="4">
        <f t="shared" si="443"/>
        <v>25.946452090576</v>
      </c>
      <c r="AB469" s="4">
        <f t="shared" si="444"/>
        <v>1.56520011107132</v>
      </c>
      <c r="AC469" s="67" t="str">
        <f t="shared" si="445"/>
        <v>-0,659451380223233-0,0267749032082143i</v>
      </c>
      <c r="AD469" s="68">
        <f t="shared" si="446"/>
        <v>-3.60919089727416</v>
      </c>
      <c r="AE469" s="31">
        <f t="shared" si="447"/>
        <v>-177.674966123218</v>
      </c>
      <c r="AF469" s="32" t="str">
        <f t="shared" si="448"/>
        <v>236,914774604583</v>
      </c>
      <c r="AG469" s="32" t="str">
        <f t="shared" si="430"/>
        <v>1+670,216295478085i</v>
      </c>
      <c r="AH469" s="32">
        <f t="shared" si="449"/>
        <v>670.217041505487</v>
      </c>
      <c r="AI469" s="32">
        <f t="shared" si="450"/>
        <v>1.56930427226762</v>
      </c>
      <c r="AJ469" s="32" t="str">
        <f t="shared" si="431"/>
        <v>1+31,8805589200387i</v>
      </c>
      <c r="AK469" s="32">
        <f t="shared" si="451"/>
        <v>31.8962386035416</v>
      </c>
      <c r="AL469" s="32">
        <f t="shared" si="452"/>
        <v>1.53943952933601</v>
      </c>
      <c r="AM469" s="32" t="str">
        <f t="shared" si="432"/>
        <v>1-1,51545699204706i</v>
      </c>
      <c r="AN469" s="32">
        <f t="shared" si="453"/>
        <v>1.81565687693031</v>
      </c>
      <c r="AO469" s="32">
        <f t="shared" si="454"/>
        <v>-0.987515996765568</v>
      </c>
      <c r="AP469" s="30" t="str">
        <f t="shared" si="455"/>
        <v>10,7597459878616-17,4158171544752i</v>
      </c>
      <c r="AQ469" s="32">
        <f t="shared" si="456"/>
        <v>26.2229985852098</v>
      </c>
      <c r="AR469" s="31">
        <f t="shared" si="457"/>
        <v>-58.291622542546</v>
      </c>
      <c r="AS469" t="str">
        <f t="shared" si="433"/>
        <v>-0,000272527472527473</v>
      </c>
      <c r="AT469" t="str">
        <f t="shared" si="434"/>
        <v>0,456859795238054i</v>
      </c>
      <c r="AU469">
        <f t="shared" si="458"/>
        <v>0.456859795238054</v>
      </c>
      <c r="AV469">
        <f t="shared" si="459"/>
        <v>1.5707963267949</v>
      </c>
      <c r="AW469" t="str">
        <f t="shared" si="435"/>
        <v>1+23,3903835523044i</v>
      </c>
      <c r="AX469">
        <f t="shared" si="460"/>
        <v>23.4117500995528</v>
      </c>
      <c r="AY469">
        <f t="shared" si="461"/>
        <v>1.52806973348782</v>
      </c>
      <c r="AZ469" t="str">
        <f t="shared" si="436"/>
        <v>1+1118,25940089421i</v>
      </c>
      <c r="BA469">
        <f t="shared" si="462"/>
        <v>1118.25984801757</v>
      </c>
      <c r="BB469">
        <f t="shared" si="463"/>
        <v>1.56990208013563</v>
      </c>
      <c r="BC469" s="30" t="str">
        <f t="shared" si="464"/>
        <v>-0,00119157601964448+0,0284679433432966i</v>
      </c>
      <c r="BD469" s="32">
        <f t="shared" si="465"/>
        <v>-30.9052760103217</v>
      </c>
      <c r="BE469" s="31">
        <f t="shared" si="466"/>
        <v>92.3968169100477</v>
      </c>
      <c r="BF469" s="30" t="str">
        <f t="shared" si="467"/>
        <v>0,00154801287834915-0,0187413201972625i</v>
      </c>
      <c r="BG469" s="68">
        <f t="shared" si="468"/>
        <v>-34.5144669075958</v>
      </c>
      <c r="BH469" s="31">
        <f t="shared" si="469"/>
        <v>-85.2781492131706</v>
      </c>
      <c r="BI469" s="30" t="str">
        <f t="shared" si="423"/>
        <v>0,482971440734211+0,327060109254493i</v>
      </c>
      <c r="BJ469" s="68">
        <f t="shared" si="470"/>
        <v>-4.68227742511183</v>
      </c>
      <c r="BK469" s="31">
        <f t="shared" si="424"/>
        <v>34.1051943675017</v>
      </c>
      <c r="BL469" s="32">
        <f t="shared" si="471"/>
        <v>-34.5144669075958</v>
      </c>
      <c r="BM469" s="31">
        <f t="shared" si="472"/>
        <v>-85.2781492131706</v>
      </c>
      <c r="BO469">
        <f t="shared" si="473"/>
        <v>0</v>
      </c>
      <c r="BP469">
        <f t="shared" si="474"/>
        <v>0</v>
      </c>
    </row>
    <row r="470" spans="14:68">
      <c r="N470" s="7">
        <v>52</v>
      </c>
      <c r="O470" s="18">
        <f t="shared" si="422"/>
        <v>331131.121482591</v>
      </c>
      <c r="P470" s="86" t="str">
        <f t="shared" si="425"/>
        <v>96,0576923076923</v>
      </c>
      <c r="Q470" s="4" t="str">
        <f t="shared" si="426"/>
        <v>1+2777,22510745133i</v>
      </c>
      <c r="R470" s="4">
        <f t="shared" si="437"/>
        <v>2777.22528748714</v>
      </c>
      <c r="S470" s="4">
        <f t="shared" si="438"/>
        <v>1.57043625517013</v>
      </c>
      <c r="T470" s="4" t="str">
        <f t="shared" si="427"/>
        <v>1+32,6231525328692i</v>
      </c>
      <c r="U470" s="4">
        <f t="shared" si="439"/>
        <v>32.6384754727124</v>
      </c>
      <c r="V470" s="4">
        <f t="shared" si="440"/>
        <v>1.54015284524472</v>
      </c>
      <c r="W470" t="str">
        <f t="shared" si="428"/>
        <v>1-15,488599912856i</v>
      </c>
      <c r="X470" s="4">
        <f t="shared" si="441"/>
        <v>15.5208481488778</v>
      </c>
      <c r="Y470" s="4">
        <f t="shared" si="442"/>
        <v>-1.50632219848584</v>
      </c>
      <c r="Z470" t="str">
        <f t="shared" si="429"/>
        <v>0,104915758250461+26,5504068454949i</v>
      </c>
      <c r="AA470" s="4">
        <f t="shared" si="443"/>
        <v>26.5506141356021</v>
      </c>
      <c r="AB470" s="4">
        <f t="shared" si="444"/>
        <v>1.56684477860269</v>
      </c>
      <c r="AC470" s="67" t="str">
        <f t="shared" si="445"/>
        <v>-0,659440767294464-0,0251647702294226i</v>
      </c>
      <c r="AD470" s="68">
        <f t="shared" si="446"/>
        <v>-3.6101643669238</v>
      </c>
      <c r="AE470" s="31">
        <f t="shared" si="447"/>
        <v>-177.814609104141</v>
      </c>
      <c r="AF470" s="32" t="str">
        <f t="shared" si="448"/>
        <v>236,914774604583</v>
      </c>
      <c r="AG470" s="32" t="str">
        <f t="shared" si="430"/>
        <v>1+685,82763847509i</v>
      </c>
      <c r="AH470" s="32">
        <f t="shared" si="449"/>
        <v>685.828367520853</v>
      </c>
      <c r="AI470" s="32">
        <f t="shared" si="450"/>
        <v>1.56933823552645</v>
      </c>
      <c r="AJ470" s="32" t="str">
        <f t="shared" si="431"/>
        <v>1+32,6231525328692i</v>
      </c>
      <c r="AK470" s="32">
        <f t="shared" si="451"/>
        <v>32.6384754727124</v>
      </c>
      <c r="AL470" s="32">
        <f t="shared" si="452"/>
        <v>1.54015284524472</v>
      </c>
      <c r="AM470" s="32" t="str">
        <f t="shared" si="432"/>
        <v>1-1,55075652006463i</v>
      </c>
      <c r="AN470" s="32">
        <f t="shared" si="453"/>
        <v>1.84522242142322</v>
      </c>
      <c r="AO470" s="32">
        <f t="shared" si="454"/>
        <v>-0.99805244971719</v>
      </c>
      <c r="AP470" s="30" t="str">
        <f t="shared" si="455"/>
        <v>10,759723327887-17,8059428121144i</v>
      </c>
      <c r="AQ470" s="32">
        <f t="shared" si="456"/>
        <v>26.3631057726114</v>
      </c>
      <c r="AR470" s="31">
        <f t="shared" si="457"/>
        <v>-58.8563927880729</v>
      </c>
      <c r="AS470" t="str">
        <f t="shared" si="433"/>
        <v>-0,000272527472527473</v>
      </c>
      <c r="AT470" t="str">
        <f t="shared" si="434"/>
        <v>0,467501426921921i</v>
      </c>
      <c r="AU470">
        <f t="shared" si="458"/>
        <v>0.467501426921921</v>
      </c>
      <c r="AV470">
        <f t="shared" si="459"/>
        <v>1.5707963267949</v>
      </c>
      <c r="AW470" t="str">
        <f t="shared" si="435"/>
        <v>1+23,9352155758321i</v>
      </c>
      <c r="AX470">
        <f t="shared" si="460"/>
        <v>23.9560961899379</v>
      </c>
      <c r="AY470">
        <f t="shared" si="461"/>
        <v>1.52904116629526</v>
      </c>
      <c r="AZ470" t="str">
        <f t="shared" si="436"/>
        <v>1+1144,30700848712i</v>
      </c>
      <c r="BA470">
        <f t="shared" si="462"/>
        <v>1144.30744543271</v>
      </c>
      <c r="BB470">
        <f t="shared" si="463"/>
        <v>1.56992243566426</v>
      </c>
      <c r="BC470" s="30" t="str">
        <f t="shared" si="464"/>
        <v>-0,0011380397132391+0,0278221705562487i</v>
      </c>
      <c r="BD470" s="32">
        <f t="shared" si="465"/>
        <v>-31.1049195361625</v>
      </c>
      <c r="BE470" s="31">
        <f t="shared" si="466"/>
        <v>92.3423241959813</v>
      </c>
      <c r="BF470" s="30" t="str">
        <f t="shared" si="467"/>
        <v>0,00145060831104177-0,0183184349915145i</v>
      </c>
      <c r="BG470" s="68">
        <f t="shared" si="468"/>
        <v>-34.7150839030862</v>
      </c>
      <c r="BH470" s="31">
        <f t="shared" si="469"/>
        <v>-85.4722849081595</v>
      </c>
      <c r="BI470" s="30" t="str">
        <f t="shared" si="423"/>
        <v>0,483154985382857+0,31962272761837i</v>
      </c>
      <c r="BJ470" s="68">
        <f t="shared" si="470"/>
        <v>-4.74181376355109</v>
      </c>
      <c r="BK470" s="31">
        <f t="shared" si="424"/>
        <v>33.4859314079083</v>
      </c>
      <c r="BL470" s="32">
        <f t="shared" si="471"/>
        <v>-34.7150839030862</v>
      </c>
      <c r="BM470" s="31">
        <f t="shared" si="472"/>
        <v>-85.4722849081595</v>
      </c>
      <c r="BO470">
        <f t="shared" si="473"/>
        <v>0</v>
      </c>
      <c r="BP470">
        <f t="shared" si="474"/>
        <v>0</v>
      </c>
    </row>
    <row r="471" spans="14:68">
      <c r="N471" s="7">
        <v>53</v>
      </c>
      <c r="O471" s="18">
        <f t="shared" si="422"/>
        <v>338844.156139203</v>
      </c>
      <c r="P471" s="86" t="str">
        <f t="shared" si="425"/>
        <v>96,0576923076923</v>
      </c>
      <c r="Q471" s="4" t="str">
        <f t="shared" si="426"/>
        <v>1+2841,91499044113i</v>
      </c>
      <c r="R471" s="4">
        <f t="shared" si="437"/>
        <v>2841.91516637883</v>
      </c>
      <c r="S471" s="4">
        <f t="shared" si="438"/>
        <v>1.57044445140028</v>
      </c>
      <c r="T471" s="4" t="str">
        <f t="shared" si="427"/>
        <v>1+33,3830433729914i</v>
      </c>
      <c r="U471" s="4">
        <f t="shared" si="439"/>
        <v>33.3980176783447</v>
      </c>
      <c r="V471" s="4">
        <f t="shared" si="440"/>
        <v>1.54084995424439</v>
      </c>
      <c r="W471" t="str">
        <f t="shared" si="428"/>
        <v>1-15,8493757510659i</v>
      </c>
      <c r="X471" s="4">
        <f t="shared" si="441"/>
        <v>15.8808914012557</v>
      </c>
      <c r="Y471" s="4">
        <f t="shared" si="442"/>
        <v>-1.50778588231114</v>
      </c>
      <c r="Z471" t="str">
        <f t="shared" si="429"/>
        <v>0,062731737553554+27,1688452671981i</v>
      </c>
      <c r="AA471" s="4">
        <f t="shared" si="443"/>
        <v>27.1689176895924</v>
      </c>
      <c r="AB471" s="4">
        <f t="shared" si="444"/>
        <v>1.56848737234885</v>
      </c>
      <c r="AC471" s="67" t="str">
        <f t="shared" si="445"/>
        <v>-0,659427523752526-0,0235680107370128i</v>
      </c>
      <c r="AD471" s="68">
        <f t="shared" si="446"/>
        <v>-3.61111465362289</v>
      </c>
      <c r="AE471" s="31">
        <f t="shared" si="447"/>
        <v>-177.953113904835</v>
      </c>
      <c r="AF471" s="32" t="str">
        <f t="shared" si="448"/>
        <v>236,914774604583</v>
      </c>
      <c r="AG471" s="32" t="str">
        <f t="shared" si="430"/>
        <v>1+701,802616364022i</v>
      </c>
      <c r="AH471" s="32">
        <f t="shared" si="449"/>
        <v>701.803328814695</v>
      </c>
      <c r="AI471" s="32">
        <f t="shared" si="450"/>
        <v>1.56937142569037</v>
      </c>
      <c r="AJ471" s="32" t="str">
        <f t="shared" si="431"/>
        <v>1+33,3830433729914i</v>
      </c>
      <c r="AK471" s="32">
        <f t="shared" si="451"/>
        <v>33.3980176783447</v>
      </c>
      <c r="AL471" s="32">
        <f t="shared" si="452"/>
        <v>1.54084995424439</v>
      </c>
      <c r="AM471" s="32" t="str">
        <f t="shared" si="432"/>
        <v>1-1,58687827971583i</v>
      </c>
      <c r="AN471" s="32">
        <f t="shared" si="453"/>
        <v>1.87568192256413</v>
      </c>
      <c r="AO471" s="32">
        <f t="shared" si="454"/>
        <v>-1.0084892859078</v>
      </c>
      <c r="AP471" s="30" t="str">
        <f t="shared" si="455"/>
        <v>10,7597016877749-18,2055094133472i</v>
      </c>
      <c r="AQ471" s="32">
        <f t="shared" si="456"/>
        <v>26.5051320895207</v>
      </c>
      <c r="AR471" s="31">
        <f t="shared" si="457"/>
        <v>-59.4163397060365</v>
      </c>
      <c r="AS471" t="str">
        <f t="shared" si="433"/>
        <v>-0,000272527472527473</v>
      </c>
      <c r="AT471" t="str">
        <f t="shared" si="434"/>
        <v>0,478390934050456i</v>
      </c>
      <c r="AU471">
        <f t="shared" si="458"/>
        <v>0.478390934050456</v>
      </c>
      <c r="AV471">
        <f t="shared" si="459"/>
        <v>1.5707963267949</v>
      </c>
      <c r="AW471" t="str">
        <f t="shared" si="435"/>
        <v>1+24,4927383674783i</v>
      </c>
      <c r="AX471">
        <f t="shared" si="460"/>
        <v>24.5131440810383</v>
      </c>
      <c r="AY471">
        <f t="shared" si="461"/>
        <v>1.52999056279293</v>
      </c>
      <c r="AZ471" t="str">
        <f t="shared" si="436"/>
        <v>1+1170,96134280263i</v>
      </c>
      <c r="BA471">
        <f t="shared" si="462"/>
        <v>1170.96176980213</v>
      </c>
      <c r="BB471">
        <f t="shared" si="463"/>
        <v>1.56994232784519</v>
      </c>
      <c r="BC471" s="30" t="str">
        <f t="shared" si="464"/>
        <v>-0,00108690472874145+0,0271909483963694i</v>
      </c>
      <c r="BD471" s="32">
        <f t="shared" si="465"/>
        <v>-31.3045790786431</v>
      </c>
      <c r="BE471" s="31">
        <f t="shared" si="466"/>
        <v>92.2890675215928</v>
      </c>
      <c r="BF471" s="30" t="str">
        <f t="shared" si="467"/>
        <v>0,00135757145758408-0,0179048435871835i</v>
      </c>
      <c r="BG471" s="68">
        <f t="shared" si="468"/>
        <v>-34.915693732266</v>
      </c>
      <c r="BH471" s="31">
        <f t="shared" si="469"/>
        <v>-85.6640463832423</v>
      </c>
      <c r="BI471" s="30" t="str">
        <f t="shared" si="423"/>
        <v>0,483330296343651+0,31235414762313i</v>
      </c>
      <c r="BJ471" s="68">
        <f t="shared" si="470"/>
        <v>-4.79944698912238</v>
      </c>
      <c r="BK471" s="31">
        <f t="shared" si="424"/>
        <v>32.8727278155563</v>
      </c>
      <c r="BL471" s="32">
        <f t="shared" si="471"/>
        <v>-34.915693732266</v>
      </c>
      <c r="BM471" s="31">
        <f t="shared" si="472"/>
        <v>-85.6640463832423</v>
      </c>
      <c r="BO471">
        <f t="shared" si="473"/>
        <v>0</v>
      </c>
      <c r="BP471">
        <f t="shared" si="474"/>
        <v>0</v>
      </c>
    </row>
    <row r="472" spans="14:68">
      <c r="N472" s="7">
        <v>54</v>
      </c>
      <c r="O472" s="18">
        <f t="shared" si="422"/>
        <v>346736.850452532</v>
      </c>
      <c r="P472" s="86" t="str">
        <f t="shared" si="425"/>
        <v>96,0576923076923</v>
      </c>
      <c r="Q472" s="4" t="str">
        <f t="shared" si="426"/>
        <v>1+2908,11169437602i</v>
      </c>
      <c r="R472" s="4">
        <f t="shared" si="437"/>
        <v>2908.11186630889</v>
      </c>
      <c r="S472" s="4">
        <f t="shared" si="438"/>
        <v>1.5704524610615</v>
      </c>
      <c r="T472" s="4" t="str">
        <f t="shared" si="427"/>
        <v>1+34,1606343445864i</v>
      </c>
      <c r="U472" s="4">
        <f t="shared" si="439"/>
        <v>34.1752679407863</v>
      </c>
      <c r="V472" s="4">
        <f t="shared" si="440"/>
        <v>1.54153122323977</v>
      </c>
      <c r="W472" t="str">
        <f t="shared" si="428"/>
        <v>1-16,2185551380902i</v>
      </c>
      <c r="X472" s="4">
        <f t="shared" si="441"/>
        <v>16.2493547800296</v>
      </c>
      <c r="Y472" s="4">
        <f t="shared" si="442"/>
        <v>-1.50921650989918</v>
      </c>
      <c r="Z472" t="str">
        <f t="shared" si="429"/>
        <v>0,018559645210272+27,8016889702838i</v>
      </c>
      <c r="AA472" s="4">
        <f t="shared" si="443"/>
        <v>27.8016951652382</v>
      </c>
      <c r="AB472" s="4">
        <f t="shared" si="444"/>
        <v>1.57012875431493</v>
      </c>
      <c r="AC472" s="67" t="str">
        <f t="shared" si="445"/>
        <v>-0,659411621649428-0,0219837908788307i</v>
      </c>
      <c r="AD472" s="68">
        <f t="shared" si="446"/>
        <v>-3.61204375179745</v>
      </c>
      <c r="AE472" s="31">
        <f t="shared" si="447"/>
        <v>-178.090552168546</v>
      </c>
      <c r="AF472" s="32" t="str">
        <f t="shared" si="448"/>
        <v>236,914774604583</v>
      </c>
      <c r="AG472" s="32" t="str">
        <f t="shared" si="430"/>
        <v>1+718,149699289599i</v>
      </c>
      <c r="AH472" s="32">
        <f t="shared" si="449"/>
        <v>718.15039552293</v>
      </c>
      <c r="AI472" s="32">
        <f t="shared" si="450"/>
        <v>1.56940386035695</v>
      </c>
      <c r="AJ472" s="32" t="str">
        <f t="shared" si="431"/>
        <v>1+34,1606343445864i</v>
      </c>
      <c r="AK472" s="32">
        <f t="shared" si="451"/>
        <v>34.1752679407863</v>
      </c>
      <c r="AL472" s="32">
        <f t="shared" si="452"/>
        <v>1.54153122323977</v>
      </c>
      <c r="AM472" s="32" t="str">
        <f t="shared" si="432"/>
        <v>1-1,62384142323574i</v>
      </c>
      <c r="AN472" s="32">
        <f t="shared" si="453"/>
        <v>1.90705557543986</v>
      </c>
      <c r="AO472" s="32">
        <f t="shared" si="454"/>
        <v>-1.01882294394406</v>
      </c>
      <c r="AP472" s="30" t="str">
        <f t="shared" si="455"/>
        <v>10,7596810216245-18,6147288138729i</v>
      </c>
      <c r="AQ472" s="32">
        <f t="shared" si="456"/>
        <v>26.649040378457</v>
      </c>
      <c r="AR472" s="31">
        <f t="shared" si="457"/>
        <v>-59.971239229803</v>
      </c>
      <c r="AS472" t="str">
        <f t="shared" si="433"/>
        <v>-0,000272527472527473</v>
      </c>
      <c r="AT472" t="str">
        <f t="shared" si="434"/>
        <v>0,489534090384476i</v>
      </c>
      <c r="AU472">
        <f t="shared" si="458"/>
        <v>0.489534090384476</v>
      </c>
      <c r="AV472">
        <f t="shared" si="459"/>
        <v>1.5707963267949</v>
      </c>
      <c r="AW472" t="str">
        <f t="shared" si="435"/>
        <v>1+25,0632475332064i</v>
      </c>
      <c r="AX472">
        <f t="shared" si="460"/>
        <v>25.0831891295899</v>
      </c>
      <c r="AY472">
        <f t="shared" si="461"/>
        <v>1.53091841951359</v>
      </c>
      <c r="AZ472" t="str">
        <f t="shared" si="436"/>
        <v>1+1198,23653632159i</v>
      </c>
      <c r="BA472">
        <f t="shared" si="462"/>
        <v>1198.2369536014</v>
      </c>
      <c r="BB472">
        <f t="shared" si="463"/>
        <v>1.56996176722546</v>
      </c>
      <c r="BC472" s="30" t="str">
        <f t="shared" si="464"/>
        <v>-0,00103806370938467+0,0265739555567492i</v>
      </c>
      <c r="BD472" s="32">
        <f t="shared" si="465"/>
        <v>-31.5042539192977</v>
      </c>
      <c r="BE472" s="31">
        <f t="shared" si="466"/>
        <v>92.2370190419518</v>
      </c>
      <c r="BF472" s="30" t="str">
        <f t="shared" si="467"/>
        <v>0,00126870755576368-0,0175003545518098i</v>
      </c>
      <c r="BG472" s="68">
        <f t="shared" si="468"/>
        <v>-35.1162976710952</v>
      </c>
      <c r="BH472" s="31">
        <f t="shared" si="469"/>
        <v>-85.8535331265937</v>
      </c>
      <c r="BI472" s="30" t="str">
        <f t="shared" si="423"/>
        <v>0,483497741807694+0,305250559715166i</v>
      </c>
      <c r="BJ472" s="68">
        <f t="shared" si="470"/>
        <v>-4.85521354084074</v>
      </c>
      <c r="BK472" s="31">
        <f t="shared" si="424"/>
        <v>32.2657798121488</v>
      </c>
      <c r="BL472" s="32">
        <f t="shared" si="471"/>
        <v>-35.1162976710952</v>
      </c>
      <c r="BM472" s="31">
        <f t="shared" si="472"/>
        <v>-85.8535331265937</v>
      </c>
      <c r="BO472">
        <f t="shared" si="473"/>
        <v>0</v>
      </c>
      <c r="BP472">
        <f t="shared" si="474"/>
        <v>0</v>
      </c>
    </row>
    <row r="473" spans="14:68">
      <c r="N473" s="7">
        <v>55</v>
      </c>
      <c r="O473" s="18">
        <f t="shared" si="422"/>
        <v>354813.389233576</v>
      </c>
      <c r="P473" s="86" t="str">
        <f t="shared" si="425"/>
        <v>96,0576923076923</v>
      </c>
      <c r="Q473" s="4" t="str">
        <f t="shared" si="426"/>
        <v>1+2975,8503176247i</v>
      </c>
      <c r="R473" s="4">
        <f t="shared" si="437"/>
        <v>2975.8504856439</v>
      </c>
      <c r="S473" s="4">
        <f t="shared" si="438"/>
        <v>1.57046028840061</v>
      </c>
      <c r="T473" s="4" t="str">
        <f t="shared" si="427"/>
        <v>1+34,9563377366807i</v>
      </c>
      <c r="U473" s="4">
        <f t="shared" si="439"/>
        <v>34.9706383693648</v>
      </c>
      <c r="V473" s="4">
        <f t="shared" si="440"/>
        <v>1.54219701091766</v>
      </c>
      <c r="W473" t="str">
        <f t="shared" si="428"/>
        <v>1-16,5963338177268i</v>
      </c>
      <c r="X473" s="4">
        <f t="shared" si="441"/>
        <v>16.6264336581668</v>
      </c>
      <c r="Y473" s="4">
        <f t="shared" si="442"/>
        <v>-1.51061481634999</v>
      </c>
      <c r="Z473" t="str">
        <f t="shared" si="429"/>
        <v>-0,0276942137095399+28,4492734968607i</v>
      </c>
      <c r="AA473" s="4">
        <f t="shared" si="443"/>
        <v>28.4492869764543</v>
      </c>
      <c r="AB473" s="4">
        <f t="shared" si="444"/>
        <v>1.57176978592259</v>
      </c>
      <c r="AC473" s="67" t="str">
        <f t="shared" si="445"/>
        <v>-0,659393027481942-0,020411283658329i</v>
      </c>
      <c r="AD473" s="68">
        <f t="shared" si="446"/>
        <v>-3.61295361247323</v>
      </c>
      <c r="AE473" s="31">
        <f t="shared" si="447"/>
        <v>-178.22699506131</v>
      </c>
      <c r="AF473" s="32" t="str">
        <f t="shared" si="448"/>
        <v>236,914774604583</v>
      </c>
      <c r="AG473" s="32" t="str">
        <f t="shared" si="430"/>
        <v>1+734,877554691581i</v>
      </c>
      <c r="AH473" s="32">
        <f t="shared" si="449"/>
        <v>734.878235076722</v>
      </c>
      <c r="AI473" s="32">
        <f t="shared" si="450"/>
        <v>1.56943555672322</v>
      </c>
      <c r="AJ473" s="32" t="str">
        <f t="shared" si="431"/>
        <v>1+34,9563377366807i</v>
      </c>
      <c r="AK473" s="32">
        <f t="shared" si="451"/>
        <v>34.9706383693648</v>
      </c>
      <c r="AL473" s="32">
        <f t="shared" si="452"/>
        <v>1.54219701091766</v>
      </c>
      <c r="AM473" s="32" t="str">
        <f t="shared" si="432"/>
        <v>1-1,66166554897235i</v>
      </c>
      <c r="AN473" s="32">
        <f t="shared" si="453"/>
        <v>1.93936391547373</v>
      </c>
      <c r="AO473" s="32">
        <f t="shared" si="454"/>
        <v>-1.02905007471643</v>
      </c>
      <c r="AP473" s="30" t="str">
        <f t="shared" si="455"/>
        <v>10,7596612856006-19,0338179874199i</v>
      </c>
      <c r="AQ473" s="32">
        <f t="shared" si="456"/>
        <v>26.7947926221563</v>
      </c>
      <c r="AR473" s="31">
        <f t="shared" si="457"/>
        <v>-60.520879903606</v>
      </c>
      <c r="AS473" t="str">
        <f t="shared" si="433"/>
        <v>-0,000272527472527473</v>
      </c>
      <c r="AT473" t="str">
        <f t="shared" si="434"/>
        <v>0,500936804172967i</v>
      </c>
      <c r="AU473">
        <f t="shared" si="458"/>
        <v>0.500936804172967</v>
      </c>
      <c r="AV473">
        <f t="shared" si="459"/>
        <v>1.5707963267949</v>
      </c>
      <c r="AW473" t="str">
        <f t="shared" si="435"/>
        <v>1+25,6470455645281i</v>
      </c>
      <c r="AX473">
        <f t="shared" si="460"/>
        <v>25.666533583423</v>
      </c>
      <c r="AY473">
        <f t="shared" si="461"/>
        <v>1.53182522202503</v>
      </c>
      <c r="AZ473" t="str">
        <f t="shared" si="436"/>
        <v>1+1226,14705071265i</v>
      </c>
      <c r="BA473">
        <f t="shared" si="462"/>
        <v>1226.14745849401</v>
      </c>
      <c r="BB473">
        <f t="shared" si="463"/>
        <v>1.56998076411202</v>
      </c>
      <c r="BC473" s="30" t="str">
        <f t="shared" si="464"/>
        <v>-0,000991414067081158+0,0259708773870927i</v>
      </c>
      <c r="BD473" s="32">
        <f t="shared" si="465"/>
        <v>-31.703943371786</v>
      </c>
      <c r="BE473" s="31">
        <f t="shared" si="466"/>
        <v>92.1861515266178</v>
      </c>
      <c r="BF473" s="30" t="str">
        <f t="shared" si="467"/>
        <v>0,00118383046838446-0,0171047794328913i</v>
      </c>
      <c r="BG473" s="68">
        <f t="shared" si="468"/>
        <v>-35.3168969842592</v>
      </c>
      <c r="BH473" s="31">
        <f t="shared" si="469"/>
        <v>-86.0408435346919</v>
      </c>
      <c r="BI473" s="30" t="str">
        <f t="shared" si="423"/>
        <v>0,483657673603949+0,298308238877972i</v>
      </c>
      <c r="BJ473" s="68">
        <f t="shared" si="470"/>
        <v>-4.9091507496297</v>
      </c>
      <c r="BK473" s="31">
        <f t="shared" si="424"/>
        <v>31.6652716230118</v>
      </c>
      <c r="BL473" s="32">
        <f t="shared" si="471"/>
        <v>-35.3168969842592</v>
      </c>
      <c r="BM473" s="31">
        <f t="shared" si="472"/>
        <v>-86.0408435346919</v>
      </c>
      <c r="BO473">
        <f t="shared" si="473"/>
        <v>0</v>
      </c>
      <c r="BP473">
        <f t="shared" si="474"/>
        <v>0</v>
      </c>
    </row>
    <row r="474" spans="14:68">
      <c r="N474" s="7">
        <v>56</v>
      </c>
      <c r="O474" s="18">
        <f t="shared" si="422"/>
        <v>363078.054770102</v>
      </c>
      <c r="P474" s="86" t="str">
        <f t="shared" si="425"/>
        <v>96,0576923076923</v>
      </c>
      <c r="Q474" s="4" t="str">
        <f t="shared" si="426"/>
        <v>1+3045,16677610181i</v>
      </c>
      <c r="R474" s="4">
        <f t="shared" si="437"/>
        <v>3045.16694029642</v>
      </c>
      <c r="S474" s="4">
        <f t="shared" si="438"/>
        <v>1.57046793756778</v>
      </c>
      <c r="T474" s="4" t="str">
        <f t="shared" si="427"/>
        <v>1+35,7705754417445i</v>
      </c>
      <c r="U474" s="4">
        <f t="shared" si="439"/>
        <v>35.7845506808949</v>
      </c>
      <c r="V474" s="4">
        <f t="shared" si="440"/>
        <v>1.54284766792516</v>
      </c>
      <c r="W474" t="str">
        <f t="shared" si="428"/>
        <v>1-16,9829120932319i</v>
      </c>
      <c r="X474" s="4">
        <f t="shared" si="441"/>
        <v>17.0123279761014</v>
      </c>
      <c r="Y474" s="4">
        <f t="shared" si="442"/>
        <v>-1.51198152117934</v>
      </c>
      <c r="Z474" t="str">
        <f t="shared" si="429"/>
        <v>-0,07612794984198+29,1119422048161i</v>
      </c>
      <c r="AA474" s="4">
        <f t="shared" si="443"/>
        <v>29.1120417422293</v>
      </c>
      <c r="AB474" s="4">
        <f t="shared" si="444"/>
        <v>1.57341132842479</v>
      </c>
      <c r="AC474" s="67" t="str">
        <f t="shared" si="445"/>
        <v>-0,659371702122463-0,0188496685573446i</v>
      </c>
      <c r="AD474" s="68">
        <f t="shared" si="446"/>
        <v>-3.6138461472487</v>
      </c>
      <c r="AE474" s="31">
        <f t="shared" si="447"/>
        <v>-178.362513301695</v>
      </c>
      <c r="AF474" s="32" t="str">
        <f t="shared" si="448"/>
        <v>236,914774604583</v>
      </c>
      <c r="AG474" s="32" t="str">
        <f t="shared" si="430"/>
        <v>1+751,995051900311i</v>
      </c>
      <c r="AH474" s="32">
        <f t="shared" si="449"/>
        <v>751.995716798009</v>
      </c>
      <c r="AI474" s="32">
        <f t="shared" si="450"/>
        <v>1.56946653159475</v>
      </c>
      <c r="AJ474" s="32" t="str">
        <f t="shared" si="431"/>
        <v>1+35,7705754417445i</v>
      </c>
      <c r="AK474" s="32">
        <f t="shared" si="451"/>
        <v>35.7845506808949</v>
      </c>
      <c r="AL474" s="32">
        <f t="shared" si="452"/>
        <v>1.54284766792516</v>
      </c>
      <c r="AM474" s="32" t="str">
        <f t="shared" si="432"/>
        <v>1-1,70037071177775i</v>
      </c>
      <c r="AN474" s="32">
        <f t="shared" si="453"/>
        <v>1.97262783045144</v>
      </c>
      <c r="AO474" s="32">
        <f t="shared" si="454"/>
        <v>-1.0391675427567</v>
      </c>
      <c r="AP474" s="30" t="str">
        <f t="shared" si="455"/>
        <v>10,7596424378408-19,462999140788i</v>
      </c>
      <c r="AQ474" s="32">
        <f t="shared" si="456"/>
        <v>26.9423500558451</v>
      </c>
      <c r="AR474" s="31">
        <f t="shared" si="457"/>
        <v>-61.0650629506418</v>
      </c>
      <c r="AS474" t="str">
        <f t="shared" si="433"/>
        <v>-0,000272527472527473</v>
      </c>
      <c r="AT474" t="str">
        <f t="shared" si="434"/>
        <v>0,512605121285714i</v>
      </c>
      <c r="AU474">
        <f t="shared" si="458"/>
        <v>0.512605121285714</v>
      </c>
      <c r="AV474">
        <f t="shared" si="459"/>
        <v>1.5707963267949</v>
      </c>
      <c r="AW474" t="str">
        <f t="shared" si="435"/>
        <v>1+26,2444419988867i</v>
      </c>
      <c r="AX474">
        <f t="shared" si="460"/>
        <v>26.2634867417281</v>
      </c>
      <c r="AY474">
        <f t="shared" si="461"/>
        <v>1.53271144515731</v>
      </c>
      <c r="AZ474" t="str">
        <f t="shared" si="436"/>
        <v>1+1254,70768449997i</v>
      </c>
      <c r="BA474">
        <f t="shared" si="462"/>
        <v>1254.7080829991</v>
      </c>
      <c r="BB474">
        <f t="shared" si="463"/>
        <v>1.56999932857721</v>
      </c>
      <c r="BC474" s="30" t="str">
        <f t="shared" si="464"/>
        <v>-0,000946857773325885+0,0253814057856346i</v>
      </c>
      <c r="BD474" s="32">
        <f t="shared" si="465"/>
        <v>-31.9036467804656</v>
      </c>
      <c r="BE474" s="31">
        <f t="shared" si="466"/>
        <v>92.1364383469359</v>
      </c>
      <c r="BF474" s="30" t="str">
        <f t="shared" si="467"/>
        <v>0,00110276230824445-0,0167179327799367i</v>
      </c>
      <c r="BG474" s="68">
        <f t="shared" si="468"/>
        <v>-35.5174929277143</v>
      </c>
      <c r="BH474" s="31">
        <f t="shared" si="469"/>
        <v>-86.2260749547589</v>
      </c>
      <c r="BI474" s="30" t="str">
        <f t="shared" si="423"/>
        <v>0,483810427917321+0,291523542851862i</v>
      </c>
      <c r="BJ474" s="68">
        <f t="shared" si="470"/>
        <v>-4.96129672462054</v>
      </c>
      <c r="BK474" s="31">
        <f t="shared" si="424"/>
        <v>31.0713753962941</v>
      </c>
      <c r="BL474" s="32">
        <f t="shared" si="471"/>
        <v>-35.5174929277143</v>
      </c>
      <c r="BM474" s="31">
        <f t="shared" si="472"/>
        <v>-86.2260749547589</v>
      </c>
      <c r="BO474">
        <f t="shared" si="473"/>
        <v>0</v>
      </c>
      <c r="BP474">
        <f t="shared" si="474"/>
        <v>0</v>
      </c>
    </row>
    <row r="475" spans="14:68">
      <c r="N475" s="7">
        <v>57</v>
      </c>
      <c r="O475" s="18">
        <f t="shared" si="422"/>
        <v>371535.229097173</v>
      </c>
      <c r="P475" s="86" t="str">
        <f t="shared" si="425"/>
        <v>96,0576923076923</v>
      </c>
      <c r="Q475" s="4" t="str">
        <f t="shared" si="426"/>
        <v>1+3116,09782231116i</v>
      </c>
      <c r="R475" s="4">
        <f t="shared" si="437"/>
        <v>3116.09798276825</v>
      </c>
      <c r="S475" s="4">
        <f t="shared" si="438"/>
        <v>1.57047541261868</v>
      </c>
      <c r="T475" s="4" t="str">
        <f t="shared" si="427"/>
        <v>1+36,6037791793872i</v>
      </c>
      <c r="U475" s="4">
        <f t="shared" si="439"/>
        <v>36.6174364232853</v>
      </c>
      <c r="V475" s="4">
        <f t="shared" si="440"/>
        <v>1.54348353704428</v>
      </c>
      <c r="W475" t="str">
        <f t="shared" si="428"/>
        <v>1-17,3784949335243i</v>
      </c>
      <c r="X475" s="4">
        <f t="shared" si="441"/>
        <v>17.4072423477853</v>
      </c>
      <c r="Y475" s="4">
        <f t="shared" si="442"/>
        <v>-1.51331732859796</v>
      </c>
      <c r="Z475" t="str">
        <f t="shared" si="429"/>
        <v>-0,12684429763502+29,7900464498706i</v>
      </c>
      <c r="AA475" s="4">
        <f t="shared" si="443"/>
        <v>29.7903164964941</v>
      </c>
      <c r="AB475" s="4">
        <f t="shared" si="444"/>
        <v>1.57505424332052</v>
      </c>
      <c r="AC475" s="67" t="str">
        <f t="shared" si="445"/>
        <v>-0,659347600738669-0,0172981311635608i</v>
      </c>
      <c r="AD475" s="68">
        <f t="shared" si="446"/>
        <v>-3.61472323219586</v>
      </c>
      <c r="AE475" s="31">
        <f t="shared" si="447"/>
        <v>-178.497177190667</v>
      </c>
      <c r="AF475" s="32" t="str">
        <f t="shared" si="448"/>
        <v>236,914774604583</v>
      </c>
      <c r="AG475" s="32" t="str">
        <f t="shared" si="430"/>
        <v>1+769,51126683939i</v>
      </c>
      <c r="AH475" s="32">
        <f t="shared" si="449"/>
        <v>769.511916602182</v>
      </c>
      <c r="AI475" s="32">
        <f t="shared" si="450"/>
        <v>1.56949680139459</v>
      </c>
      <c r="AJ475" s="32" t="str">
        <f t="shared" si="431"/>
        <v>1+36,6037791793872i</v>
      </c>
      <c r="AK475" s="32">
        <f t="shared" si="451"/>
        <v>36.6174364232853</v>
      </c>
      <c r="AL475" s="32">
        <f t="shared" si="452"/>
        <v>1.54348353704428</v>
      </c>
      <c r="AM475" s="32" t="str">
        <f t="shared" si="432"/>
        <v>1-1,73997743364161i</v>
      </c>
      <c r="AN475" s="32">
        <f t="shared" si="453"/>
        <v>2.0068685730715</v>
      </c>
      <c r="AO475" s="32">
        <f t="shared" si="454"/>
        <v>-1.0491724267145</v>
      </c>
      <c r="AP475" s="30" t="str">
        <f t="shared" si="455"/>
        <v>10,759624438367-19,9024998316671i</v>
      </c>
      <c r="AQ475" s="32">
        <f t="shared" si="456"/>
        <v>27.091673277814</v>
      </c>
      <c r="AR475" s="31">
        <f t="shared" si="457"/>
        <v>-61.6036022908704</v>
      </c>
      <c r="AS475" t="str">
        <f t="shared" si="433"/>
        <v>-0,000272527472527473</v>
      </c>
      <c r="AT475" t="str">
        <f t="shared" si="434"/>
        <v>0,524545228418897i</v>
      </c>
      <c r="AU475">
        <f t="shared" si="458"/>
        <v>0.524545228418897</v>
      </c>
      <c r="AV475">
        <f t="shared" si="459"/>
        <v>1.5707963267949</v>
      </c>
      <c r="AW475" t="str">
        <f t="shared" si="435"/>
        <v>1+26,8557535837795i</v>
      </c>
      <c r="AX475">
        <f t="shared" si="460"/>
        <v>26.8743651190625</v>
      </c>
      <c r="AY475">
        <f t="shared" si="461"/>
        <v>1.53357755322623</v>
      </c>
      <c r="AZ475" t="str">
        <f t="shared" si="436"/>
        <v>1+1283,93358090963i</v>
      </c>
      <c r="BA475">
        <f t="shared" si="462"/>
        <v>1283.93397033782</v>
      </c>
      <c r="BB475">
        <f t="shared" si="463"/>
        <v>1.57001747046412</v>
      </c>
      <c r="BC475" s="30" t="str">
        <f t="shared" si="464"/>
        <v>-0,000904301159027723+0,0248052390906636i</v>
      </c>
      <c r="BD475" s="32">
        <f t="shared" si="465"/>
        <v>-32.1033635190276</v>
      </c>
      <c r="BE475" s="31">
        <f t="shared" si="466"/>
        <v>92.0878534635368</v>
      </c>
      <c r="BF475" s="30" t="str">
        <f t="shared" si="467"/>
        <v>0,00102533307888391-0,0163396321601179i</v>
      </c>
      <c r="BG475" s="68">
        <f t="shared" si="468"/>
        <v>-35.7180867512235</v>
      </c>
      <c r="BH475" s="31">
        <f t="shared" si="469"/>
        <v>-86.4093237271305</v>
      </c>
      <c r="BI475" s="30" t="str">
        <f t="shared" si="423"/>
        <v>0,483956325976076+0,284892910384766i</v>
      </c>
      <c r="BJ475" s="68">
        <f t="shared" si="470"/>
        <v>-5.01169024121361</v>
      </c>
      <c r="BK475" s="31">
        <f t="shared" si="424"/>
        <v>30.4842511726663</v>
      </c>
      <c r="BL475" s="32">
        <f t="shared" si="471"/>
        <v>-35.7180867512235</v>
      </c>
      <c r="BM475" s="31">
        <f t="shared" si="472"/>
        <v>-86.4093237271305</v>
      </c>
      <c r="BO475">
        <f t="shared" si="473"/>
        <v>0</v>
      </c>
      <c r="BP475">
        <f t="shared" si="474"/>
        <v>0</v>
      </c>
    </row>
    <row r="476" spans="14:68">
      <c r="N476" s="7">
        <v>58</v>
      </c>
      <c r="O476" s="18">
        <f t="shared" si="422"/>
        <v>380189.396320562</v>
      </c>
      <c r="P476" s="86" t="str">
        <f t="shared" si="425"/>
        <v>96,0576923076923</v>
      </c>
      <c r="Q476" s="4" t="str">
        <f t="shared" si="426"/>
        <v>1+3188,68106483232i</v>
      </c>
      <c r="R476" s="4">
        <f t="shared" si="437"/>
        <v>3188.68122163696</v>
      </c>
      <c r="S476" s="4">
        <f t="shared" si="438"/>
        <v>1.57048271751668</v>
      </c>
      <c r="T476" s="4" t="str">
        <f t="shared" si="427"/>
        <v>1+37,4563907252591i</v>
      </c>
      <c r="U476" s="4">
        <f t="shared" si="439"/>
        <v>37.469737204353</v>
      </c>
      <c r="V476" s="4">
        <f t="shared" si="440"/>
        <v>1.54410495336328</v>
      </c>
      <c r="W476" t="str">
        <f t="shared" si="428"/>
        <v>1-17,783292081862i</v>
      </c>
      <c r="X476" s="4">
        <f t="shared" si="441"/>
        <v>17.8113861692125</v>
      </c>
      <c r="Y476" s="4">
        <f t="shared" si="442"/>
        <v>-1.5146229277891</v>
      </c>
      <c r="Z476" t="str">
        <f t="shared" si="429"/>
        <v>-0,17995083326199+30,4839457718707i</v>
      </c>
      <c r="AA476" s="4">
        <f t="shared" si="443"/>
        <v>30.4844769042335</v>
      </c>
      <c r="AB476" s="4">
        <f t="shared" si="444"/>
        <v>1.57669939276948</v>
      </c>
      <c r="AC476" s="67" t="str">
        <f t="shared" si="445"/>
        <v>-0,659320672701785-0,0157558628027576i</v>
      </c>
      <c r="AD476" s="68">
        <f t="shared" si="446"/>
        <v>-3.61558671169629</v>
      </c>
      <c r="AE476" s="31">
        <f t="shared" si="447"/>
        <v>-178.631056641575</v>
      </c>
      <c r="AF476" s="32" t="str">
        <f t="shared" si="448"/>
        <v>236,914774604583</v>
      </c>
      <c r="AG476" s="32" t="str">
        <f t="shared" si="430"/>
        <v>1+787,435486837833i</v>
      </c>
      <c r="AH476" s="32">
        <f t="shared" si="449"/>
        <v>787.43612181023</v>
      </c>
      <c r="AI476" s="32">
        <f t="shared" si="450"/>
        <v>1.56952638217197</v>
      </c>
      <c r="AJ476" s="32" t="str">
        <f t="shared" si="431"/>
        <v>1+37,4563907252591i</v>
      </c>
      <c r="AK476" s="32">
        <f t="shared" si="451"/>
        <v>37.469737204353</v>
      </c>
      <c r="AL476" s="32">
        <f t="shared" si="452"/>
        <v>1.54410495336328</v>
      </c>
      <c r="AM476" s="32" t="str">
        <f t="shared" si="432"/>
        <v>1-1,78050671457211i</v>
      </c>
      <c r="AN476" s="32">
        <f t="shared" si="453"/>
        <v>2.04210777400126</v>
      </c>
      <c r="AO476" s="32">
        <f t="shared" si="454"/>
        <v>-1.05906201899296</v>
      </c>
      <c r="AP476" s="30" t="str">
        <f t="shared" si="455"/>
        <v>10,7596072490003-20,3525530892916i</v>
      </c>
      <c r="AQ476" s="32">
        <f t="shared" si="456"/>
        <v>27.2427223577415</v>
      </c>
      <c r="AR476" s="31">
        <f t="shared" si="457"/>
        <v>-62.1363245108303</v>
      </c>
      <c r="AS476" t="str">
        <f t="shared" si="433"/>
        <v>-0,000272527472527473</v>
      </c>
      <c r="AT476" t="str">
        <f t="shared" si="434"/>
        <v>0,536763456375365i</v>
      </c>
      <c r="AU476">
        <f t="shared" si="458"/>
        <v>0.536763456375365</v>
      </c>
      <c r="AV476">
        <f t="shared" si="459"/>
        <v>1.5707963267949</v>
      </c>
      <c r="AW476" t="str">
        <f t="shared" si="435"/>
        <v>1+27,4813044447003i</v>
      </c>
      <c r="AX476">
        <f t="shared" si="460"/>
        <v>27.4994926131793</v>
      </c>
      <c r="AY476">
        <f t="shared" si="461"/>
        <v>1.53442400025314</v>
      </c>
      <c r="AZ476" t="str">
        <f t="shared" si="436"/>
        <v>1+1313,84023589876i</v>
      </c>
      <c r="BA476">
        <f t="shared" si="462"/>
        <v>1313.84061646248</v>
      </c>
      <c r="BB476">
        <f t="shared" si="463"/>
        <v>1.57003519939175</v>
      </c>
      <c r="BC476" s="30" t="str">
        <f t="shared" si="464"/>
        <v>-0,000863654722909229+0,0242420819718472i</v>
      </c>
      <c r="BD476" s="32">
        <f t="shared" si="465"/>
        <v>-32.3030929891916</v>
      </c>
      <c r="BE476" s="31">
        <f t="shared" si="466"/>
        <v>92.0403714140424</v>
      </c>
      <c r="BF476" s="30" t="str">
        <f t="shared" si="467"/>
        <v>0,000951380330492214-0,015969698168047i</v>
      </c>
      <c r="BG476" s="68">
        <f t="shared" si="468"/>
        <v>-35.9186797008879</v>
      </c>
      <c r="BH476" s="31">
        <f t="shared" si="469"/>
        <v>-86.5906852275328</v>
      </c>
      <c r="BI476" s="30" t="str">
        <f t="shared" si="423"/>
        <v>0,484095674709731+0,278412859513974i</v>
      </c>
      <c r="BJ476" s="68">
        <f t="shared" si="470"/>
        <v>-5.06037063145017</v>
      </c>
      <c r="BK476" s="31">
        <f t="shared" si="424"/>
        <v>29.9040469032121</v>
      </c>
      <c r="BL476" s="32">
        <f t="shared" si="471"/>
        <v>-35.9186797008879</v>
      </c>
      <c r="BM476" s="31">
        <f t="shared" si="472"/>
        <v>-86.5906852275328</v>
      </c>
      <c r="BO476">
        <f t="shared" si="473"/>
        <v>0</v>
      </c>
      <c r="BP476">
        <f t="shared" si="474"/>
        <v>0</v>
      </c>
    </row>
    <row r="477" spans="14:68">
      <c r="N477" s="7">
        <v>59</v>
      </c>
      <c r="O477" s="18">
        <f t="shared" si="422"/>
        <v>389045.144994281</v>
      </c>
      <c r="P477" s="86" t="str">
        <f t="shared" si="425"/>
        <v>96,0576923076923</v>
      </c>
      <c r="Q477" s="4" t="str">
        <f t="shared" si="426"/>
        <v>1+3262,95498826125i</v>
      </c>
      <c r="R477" s="4">
        <f t="shared" si="437"/>
        <v>3262.95514149658</v>
      </c>
      <c r="S477" s="4">
        <f t="shared" si="438"/>
        <v>1.57048985613493</v>
      </c>
      <c r="T477" s="4" t="str">
        <f t="shared" si="427"/>
        <v>1+38,3288621452875i</v>
      </c>
      <c r="U477" s="4">
        <f t="shared" si="439"/>
        <v>38.3419049259743</v>
      </c>
      <c r="V477" s="4">
        <f t="shared" si="440"/>
        <v>1.54471224444449</v>
      </c>
      <c r="W477" t="str">
        <f t="shared" si="428"/>
        <v>1-18,1975181670512i</v>
      </c>
      <c r="X477" s="4">
        <f t="shared" si="441"/>
        <v>18.2249737294779</v>
      </c>
      <c r="Y477" s="4">
        <f t="shared" si="442"/>
        <v>-1.51589899318458</v>
      </c>
      <c r="Z477" t="str">
        <f t="shared" si="429"/>
        <v>-0,23556020280508+31,1940080854219i</v>
      </c>
      <c r="AA477" s="4">
        <f t="shared" si="443"/>
        <v>31.194897484084</v>
      </c>
      <c r="AB477" s="4">
        <f t="shared" si="444"/>
        <v>1.5783476400069</v>
      </c>
      <c r="AC477" s="67" t="str">
        <f t="shared" si="445"/>
        <v>-0,659290861483359-0,0142220601759454i</v>
      </c>
      <c r="AD477" s="68">
        <f t="shared" si="446"/>
        <v>-3.61643840221854</v>
      </c>
      <c r="AE477" s="31">
        <f t="shared" si="447"/>
        <v>-178.764221210226</v>
      </c>
      <c r="AF477" s="32" t="str">
        <f t="shared" si="448"/>
        <v>236,914774604583</v>
      </c>
      <c r="AG477" s="32" t="str">
        <f t="shared" si="430"/>
        <v>1+805,777215554338i</v>
      </c>
      <c r="AH477" s="32">
        <f t="shared" si="449"/>
        <v>805.77783607301</v>
      </c>
      <c r="AI477" s="32">
        <f t="shared" si="450"/>
        <v>1.56955528961079</v>
      </c>
      <c r="AJ477" s="32" t="str">
        <f t="shared" si="431"/>
        <v>1+38,3288621452875i</v>
      </c>
      <c r="AK477" s="32">
        <f t="shared" si="451"/>
        <v>38.3419049259743</v>
      </c>
      <c r="AL477" s="32">
        <f t="shared" si="452"/>
        <v>1.54471224444449</v>
      </c>
      <c r="AM477" s="32" t="str">
        <f t="shared" si="432"/>
        <v>1-1,82198004373047i</v>
      </c>
      <c r="AN477" s="32">
        <f t="shared" si="453"/>
        <v>2.07836745542074</v>
      </c>
      <c r="AO477" s="32">
        <f t="shared" si="454"/>
        <v>-1.0688338245885</v>
      </c>
      <c r="AP477" s="30" t="str">
        <f t="shared" si="455"/>
        <v>10,7595908332802-20,8133975379966i</v>
      </c>
      <c r="AQ477" s="32">
        <f t="shared" si="456"/>
        <v>27.3954569422683</v>
      </c>
      <c r="AR477" s="31">
        <f t="shared" si="457"/>
        <v>-62.6630687880286</v>
      </c>
      <c r="AS477" t="str">
        <f t="shared" si="433"/>
        <v>-0,000272527472527473</v>
      </c>
      <c r="AT477" t="str">
        <f t="shared" si="434"/>
        <v>0,549266283421307i</v>
      </c>
      <c r="AU477">
        <f t="shared" si="458"/>
        <v>0.549266283421307</v>
      </c>
      <c r="AV477">
        <f t="shared" si="459"/>
        <v>1.5707963267949</v>
      </c>
      <c r="AW477" t="str">
        <f t="shared" si="435"/>
        <v>1+28,1214262569958i</v>
      </c>
      <c r="AX477">
        <f t="shared" si="460"/>
        <v>28.1392006767721</v>
      </c>
      <c r="AY477">
        <f t="shared" si="461"/>
        <v>1.53525123018104</v>
      </c>
      <c r="AZ477" t="str">
        <f t="shared" si="436"/>
        <v>1+1344,44350637169i</v>
      </c>
      <c r="BA477">
        <f t="shared" si="462"/>
        <v>1344.44387827272</v>
      </c>
      <c r="BB477">
        <f t="shared" si="463"/>
        <v>1.57005252476019</v>
      </c>
      <c r="BC477" s="30" t="str">
        <f t="shared" si="464"/>
        <v>-0,00082483294812734+0,0236916453215367i</v>
      </c>
      <c r="BD477" s="32">
        <f t="shared" si="465"/>
        <v>-32.5028346194581</v>
      </c>
      <c r="BE477" s="31">
        <f t="shared" si="466"/>
        <v>91.9939673009767</v>
      </c>
      <c r="BF477" s="30" t="str">
        <f t="shared" si="467"/>
        <v>0,000880748830380783-0,0156079544301708i</v>
      </c>
      <c r="BG477" s="68">
        <f t="shared" si="468"/>
        <v>-36.1192730216766</v>
      </c>
      <c r="BH477" s="31">
        <f t="shared" si="469"/>
        <v>-86.7702539092488</v>
      </c>
      <c r="BI477" s="30" t="str">
        <f t="shared" si="423"/>
        <v>0,484228767378702+0,272079985878744i</v>
      </c>
      <c r="BJ477" s="68">
        <f t="shared" si="470"/>
        <v>-5.10737767718981</v>
      </c>
      <c r="BK477" s="31">
        <f t="shared" si="424"/>
        <v>29.3308985129481</v>
      </c>
      <c r="BL477" s="32">
        <f t="shared" si="471"/>
        <v>-36.1192730216766</v>
      </c>
      <c r="BM477" s="31">
        <f t="shared" si="472"/>
        <v>-86.7702539092488</v>
      </c>
      <c r="BO477">
        <f t="shared" si="473"/>
        <v>0</v>
      </c>
      <c r="BP477">
        <f t="shared" si="474"/>
        <v>0</v>
      </c>
    </row>
    <row r="478" spans="14:68">
      <c r="N478" s="7">
        <v>60</v>
      </c>
      <c r="O478" s="18">
        <f t="shared" si="422"/>
        <v>398107.170553497</v>
      </c>
      <c r="P478" s="86" t="str">
        <f t="shared" si="425"/>
        <v>96,0576923076923</v>
      </c>
      <c r="Q478" s="4" t="str">
        <f t="shared" si="426"/>
        <v>1+3338,95897361526i</v>
      </c>
      <c r="R478" s="4">
        <f t="shared" si="437"/>
        <v>3338.95912336253</v>
      </c>
      <c r="S478" s="4">
        <f t="shared" si="438"/>
        <v>1.57049683225842</v>
      </c>
      <c r="T478" s="4" t="str">
        <f t="shared" si="427"/>
        <v>1+39,2216560353677i</v>
      </c>
      <c r="U478" s="4">
        <f t="shared" si="439"/>
        <v>39.2344020236921</v>
      </c>
      <c r="V478" s="4">
        <f t="shared" si="440"/>
        <v>1.54530573048889</v>
      </c>
      <c r="W478" t="str">
        <f t="shared" si="428"/>
        <v>1-18,6213928172452i</v>
      </c>
      <c r="X478" s="4">
        <f t="shared" si="441"/>
        <v>18.648224324427</v>
      </c>
      <c r="Y478" s="4">
        <f t="shared" si="442"/>
        <v>-1.51714618473878</v>
      </c>
      <c r="Z478" t="str">
        <f t="shared" si="429"/>
        <v>-0,29379036119275+31,9206098749613i</v>
      </c>
      <c r="AA478" s="4">
        <f t="shared" si="443"/>
        <v>31.9219618376723</v>
      </c>
      <c r="AB478" s="4">
        <f t="shared" si="444"/>
        <v>1.57999984975834</v>
      </c>
      <c r="AC478" s="67" t="str">
        <f t="shared" si="445"/>
        <v>-0,659258104540344-0,0126959250014973i</v>
      </c>
      <c r="AD478" s="68">
        <f t="shared" si="446"/>
        <v>-3.61728009604406</v>
      </c>
      <c r="AE478" s="31">
        <f t="shared" si="447"/>
        <v>-178.896740125043</v>
      </c>
      <c r="AF478" s="32" t="str">
        <f t="shared" si="448"/>
        <v>236,914774604583</v>
      </c>
      <c r="AG478" s="32" t="str">
        <f t="shared" si="430"/>
        <v>1+824,546178016251i</v>
      </c>
      <c r="AH478" s="32">
        <f t="shared" si="449"/>
        <v>824.546784410204</v>
      </c>
      <c r="AI478" s="32">
        <f t="shared" si="450"/>
        <v>1.56958353903797</v>
      </c>
      <c r="AJ478" s="32" t="str">
        <f t="shared" si="431"/>
        <v>1+39,2216560353677i</v>
      </c>
      <c r="AK478" s="32">
        <f t="shared" si="451"/>
        <v>39.2344020236921</v>
      </c>
      <c r="AL478" s="32">
        <f t="shared" si="452"/>
        <v>1.54530573048889</v>
      </c>
      <c r="AM478" s="32" t="str">
        <f t="shared" si="432"/>
        <v>1-1,86441941082477i</v>
      </c>
      <c r="AN478" s="32">
        <f t="shared" si="453"/>
        <v>2.11567004503542</v>
      </c>
      <c r="AO478" s="32">
        <f t="shared" si="454"/>
        <v>-1.07848555918281</v>
      </c>
      <c r="AP478" s="30" t="str">
        <f t="shared" si="455"/>
        <v>10,7595751563869-21,2852775237396i</v>
      </c>
      <c r="AQ478" s="32">
        <f t="shared" si="456"/>
        <v>27.549836357376</v>
      </c>
      <c r="AR478" s="31">
        <f t="shared" si="457"/>
        <v>-63.1836867726704</v>
      </c>
      <c r="AS478" t="str">
        <f t="shared" si="433"/>
        <v>-0,000272527472527473</v>
      </c>
      <c r="AT478" t="str">
        <f t="shared" si="434"/>
        <v>0,562060338721117i</v>
      </c>
      <c r="AU478">
        <f t="shared" si="458"/>
        <v>0.562060338721117</v>
      </c>
      <c r="AV478">
        <f t="shared" si="459"/>
        <v>1.5707963267949</v>
      </c>
      <c r="AW478" t="str">
        <f t="shared" si="435"/>
        <v>1+28,7764584217237i</v>
      </c>
      <c r="AX478">
        <f t="shared" si="460"/>
        <v>28.7938284932239</v>
      </c>
      <c r="AY478">
        <f t="shared" si="461"/>
        <v>1.53605967708696</v>
      </c>
      <c r="AZ478" t="str">
        <f t="shared" si="436"/>
        <v>1+1375,75961858751i</v>
      </c>
      <c r="BA478">
        <f t="shared" si="462"/>
        <v>1375.75998202305</v>
      </c>
      <c r="BB478">
        <f t="shared" si="463"/>
        <v>1.57006945575553</v>
      </c>
      <c r="BC478" s="30" t="str">
        <f t="shared" si="464"/>
        <v>-0,000787754126780211+0,0231536461462142i</v>
      </c>
      <c r="BD478" s="32">
        <f t="shared" si="465"/>
        <v>-32.7025878639159</v>
      </c>
      <c r="BE478" s="31">
        <f t="shared" si="466"/>
        <v>91.948616779883</v>
      </c>
      <c r="BF478" s="30" t="str">
        <f t="shared" si="467"/>
        <v>0,000813290247448498-0,0152542276042378i</v>
      </c>
      <c r="BG478" s="68">
        <f t="shared" si="468"/>
        <v>-36.3198679599599</v>
      </c>
      <c r="BH478" s="31">
        <f t="shared" si="469"/>
        <v>-86.9481233451596</v>
      </c>
      <c r="BI478" s="30" t="str">
        <f t="shared" si="423"/>
        <v>0,484355884176788+0,265890961063568i</v>
      </c>
      <c r="BJ478" s="68">
        <f t="shared" si="470"/>
        <v>-5.15275150653989</v>
      </c>
      <c r="BK478" s="31">
        <f t="shared" si="424"/>
        <v>28.7649300072126</v>
      </c>
      <c r="BL478" s="32">
        <f t="shared" si="471"/>
        <v>-36.3198679599599</v>
      </c>
      <c r="BM478" s="31">
        <f t="shared" si="472"/>
        <v>-86.9481233451596</v>
      </c>
      <c r="BO478">
        <f t="shared" si="473"/>
        <v>0</v>
      </c>
      <c r="BP478">
        <f t="shared" si="474"/>
        <v>0</v>
      </c>
    </row>
    <row r="479" spans="14:68">
      <c r="N479" s="7">
        <v>61</v>
      </c>
      <c r="O479" s="18">
        <f t="shared" si="422"/>
        <v>407380.277804113</v>
      </c>
      <c r="P479" s="86" t="str">
        <f t="shared" si="425"/>
        <v>96,0576923076923</v>
      </c>
      <c r="Q479" s="4" t="str">
        <f t="shared" si="426"/>
        <v>1+3416,73331921344i</v>
      </c>
      <c r="R479" s="4">
        <f t="shared" si="437"/>
        <v>3416.73346555205</v>
      </c>
      <c r="S479" s="4">
        <f t="shared" si="438"/>
        <v>1.57050364958599</v>
      </c>
      <c r="T479" s="4" t="str">
        <f t="shared" si="427"/>
        <v>1+40,1352457666379i</v>
      </c>
      <c r="U479" s="4">
        <f t="shared" si="439"/>
        <v>40.1477017119091</v>
      </c>
      <c r="V479" s="4">
        <f t="shared" si="440"/>
        <v>1.54588572449735</v>
      </c>
      <c r="W479" t="str">
        <f t="shared" si="428"/>
        <v>1-19,0551407763942i</v>
      </c>
      <c r="X479" s="4">
        <f t="shared" si="441"/>
        <v>19.0813623729597</v>
      </c>
      <c r="Y479" s="4">
        <f t="shared" si="442"/>
        <v>-1.51836514820044</v>
      </c>
      <c r="Z479" t="str">
        <f t="shared" si="429"/>
        <v>-0,35476482239802+32,6641363943758i</v>
      </c>
      <c r="AA479" s="4">
        <f t="shared" si="443"/>
        <v>32.6660628859616</v>
      </c>
      <c r="AB479" s="4">
        <f t="shared" si="444"/>
        <v>1.5816568886546</v>
      </c>
      <c r="AC479" s="67" t="str">
        <f t="shared" si="445"/>
        <v>-0,659222333188201-0,0111766636623994i</v>
      </c>
      <c r="AD479" s="68">
        <f t="shared" si="446"/>
        <v>-3.61811356494945</v>
      </c>
      <c r="AE479" s="31">
        <f t="shared" si="447"/>
        <v>-179.028682317291</v>
      </c>
      <c r="AF479" s="32" t="str">
        <f t="shared" si="448"/>
        <v>236,914774604583</v>
      </c>
      <c r="AG479" s="32" t="str">
        <f t="shared" si="430"/>
        <v>1+843,75232577591i</v>
      </c>
      <c r="AH479" s="32">
        <f t="shared" si="449"/>
        <v>843.752918366661</v>
      </c>
      <c r="AI479" s="32">
        <f t="shared" si="450"/>
        <v>1.56961114543156</v>
      </c>
      <c r="AJ479" s="32" t="str">
        <f t="shared" si="431"/>
        <v>1+40,1352457666379i</v>
      </c>
      <c r="AK479" s="32">
        <f t="shared" si="451"/>
        <v>40.1477017119091</v>
      </c>
      <c r="AL479" s="32">
        <f t="shared" si="452"/>
        <v>1.54588572449735</v>
      </c>
      <c r="AM479" s="32" t="str">
        <f t="shared" si="432"/>
        <v>1-1,9078473177692i</v>
      </c>
      <c r="AN479" s="32">
        <f t="shared" si="453"/>
        <v>2.15403839053976</v>
      </c>
      <c r="AO479" s="32">
        <f t="shared" si="454"/>
        <v>-1.08801514653824</v>
      </c>
      <c r="AP479" s="30" t="str">
        <f t="shared" si="455"/>
        <v>10,759560185068-21,7684432436579i</v>
      </c>
      <c r="AQ479" s="32">
        <f t="shared" si="456"/>
        <v>27.7058197071752</v>
      </c>
      <c r="AR479" s="31">
        <f t="shared" si="457"/>
        <v>-63.6980424296501</v>
      </c>
      <c r="AS479" t="str">
        <f t="shared" si="433"/>
        <v>-0,000272527472527473</v>
      </c>
      <c r="AT479" t="str">
        <f t="shared" si="434"/>
        <v>0,575152405852267i</v>
      </c>
      <c r="AU479">
        <f t="shared" si="458"/>
        <v>0.575152405852267</v>
      </c>
      <c r="AV479">
        <f t="shared" si="459"/>
        <v>1.5707963267949</v>
      </c>
      <c r="AW479" t="str">
        <f t="shared" si="435"/>
        <v>1+29,4467482456084i</v>
      </c>
      <c r="AX479">
        <f t="shared" si="460"/>
        <v>29.4637231564553</v>
      </c>
      <c r="AY479">
        <f t="shared" si="461"/>
        <v>1.5368497653906</v>
      </c>
      <c r="AZ479" t="str">
        <f t="shared" si="436"/>
        <v>1+1407,80517676345i</v>
      </c>
      <c r="BA479">
        <f t="shared" si="462"/>
        <v>1407.80553192618</v>
      </c>
      <c r="BB479">
        <f t="shared" si="463"/>
        <v>1.57008600135476</v>
      </c>
      <c r="BC479" s="30" t="str">
        <f t="shared" si="464"/>
        <v>-0,00075234019197718+0,0226278074582315i</v>
      </c>
      <c r="BD479" s="32">
        <f t="shared" si="465"/>
        <v>-32.9023522011026</v>
      </c>
      <c r="BE479" s="31">
        <f t="shared" si="466"/>
        <v>91.904296047647</v>
      </c>
      <c r="BF479" s="30" t="str">
        <f t="shared" si="467"/>
        <v>0,000748862850084642-0,0149083473742633i</v>
      </c>
      <c r="BG479" s="68">
        <f t="shared" si="468"/>
        <v>-36.520465766052</v>
      </c>
      <c r="BH479" s="31">
        <f t="shared" si="469"/>
        <v>-87.1243862696437</v>
      </c>
      <c r="BI479" s="30" t="str">
        <f t="shared" si="423"/>
        <v>0,484477292807707+0,25984253097195i</v>
      </c>
      <c r="BJ479" s="68">
        <f t="shared" si="470"/>
        <v>-5.19653249392735</v>
      </c>
      <c r="BK479" s="31">
        <f t="shared" si="424"/>
        <v>28.2062536179969</v>
      </c>
      <c r="BL479" s="32">
        <f t="shared" si="471"/>
        <v>-36.520465766052</v>
      </c>
      <c r="BM479" s="31">
        <f t="shared" si="472"/>
        <v>-87.1243862696437</v>
      </c>
      <c r="BO479">
        <f t="shared" si="473"/>
        <v>0</v>
      </c>
      <c r="BP479">
        <f t="shared" si="474"/>
        <v>0</v>
      </c>
    </row>
    <row r="480" spans="14:68">
      <c r="N480" s="7">
        <v>62</v>
      </c>
      <c r="O480" s="18">
        <f t="shared" si="422"/>
        <v>416869.383470336</v>
      </c>
      <c r="P480" s="86" t="str">
        <f t="shared" si="425"/>
        <v>96,0576923076923</v>
      </c>
      <c r="Q480" s="4" t="str">
        <f t="shared" si="426"/>
        <v>1+3496,31926204328i</v>
      </c>
      <c r="R480" s="4">
        <f t="shared" si="437"/>
        <v>3496.31940505081</v>
      </c>
      <c r="S480" s="4">
        <f t="shared" si="438"/>
        <v>1.57051031173226</v>
      </c>
      <c r="T480" s="4" t="str">
        <f t="shared" si="427"/>
        <v>1+41,0701157364665i</v>
      </c>
      <c r="U480" s="4">
        <f t="shared" si="439"/>
        <v>41.0822882347947</v>
      </c>
      <c r="V480" s="4">
        <f t="shared" si="440"/>
        <v>1.54645253242864</v>
      </c>
      <c r="W480" t="str">
        <f t="shared" si="428"/>
        <v>1-19,4989920234074i</v>
      </c>
      <c r="X480" s="4">
        <f t="shared" si="441"/>
        <v>19.5246175360468</v>
      </c>
      <c r="Y480" s="4">
        <f t="shared" si="442"/>
        <v>-1.51955651538213</v>
      </c>
      <c r="Z480" t="str">
        <f t="shared" si="429"/>
        <v>-0,41861292142808+33,4249818712675i</v>
      </c>
      <c r="AA480" s="4">
        <f t="shared" si="443"/>
        <v>33.4276031128848</v>
      </c>
      <c r="AB480" s="4">
        <f t="shared" si="444"/>
        <v>1.58331962564672</v>
      </c>
      <c r="AC480" s="67" t="str">
        <f t="shared" si="445"/>
        <v>-0,659183472461984-0,00966348685876223i</v>
      </c>
      <c r="AD480" s="68">
        <f t="shared" si="446"/>
        <v>-3.6189405638497</v>
      </c>
      <c r="AE480" s="31">
        <f t="shared" si="447"/>
        <v>-179.160116451348</v>
      </c>
      <c r="AF480" s="32" t="str">
        <f t="shared" si="448"/>
        <v>236,914774604583</v>
      </c>
      <c r="AG480" s="32" t="str">
        <f t="shared" si="430"/>
        <v>1+863,405842187078i</v>
      </c>
      <c r="AH480" s="32">
        <f t="shared" si="449"/>
        <v>863.406421288826</v>
      </c>
      <c r="AI480" s="32">
        <f t="shared" si="450"/>
        <v>1.56963812342865</v>
      </c>
      <c r="AJ480" s="32" t="str">
        <f t="shared" si="431"/>
        <v>1+41,0701157364665i</v>
      </c>
      <c r="AK480" s="32">
        <f t="shared" si="451"/>
        <v>41.0822882347947</v>
      </c>
      <c r="AL480" s="32">
        <f t="shared" si="452"/>
        <v>1.54645253242864</v>
      </c>
      <c r="AM480" s="32" t="str">
        <f t="shared" si="432"/>
        <v>1-1,95228679061486i</v>
      </c>
      <c r="AN480" s="32">
        <f t="shared" si="453"/>
        <v>2.19349577451366</v>
      </c>
      <c r="AO480" s="32">
        <f t="shared" si="454"/>
        <v>-1.0974207152496</v>
      </c>
      <c r="AP480" s="30" t="str">
        <f t="shared" si="455"/>
        <v>10,7595458875676-22,2631508787258i</v>
      </c>
      <c r="AQ480" s="32">
        <f t="shared" si="456"/>
        <v>27.8633659687605</v>
      </c>
      <c r="AR480" s="31">
        <f t="shared" si="457"/>
        <v>-64.2060118438479</v>
      </c>
      <c r="AS480" t="str">
        <f t="shared" si="433"/>
        <v>-0,000272527472527473</v>
      </c>
      <c r="AT480" t="str">
        <f t="shared" si="434"/>
        <v>0,588549426402041i</v>
      </c>
      <c r="AU480">
        <f t="shared" si="458"/>
        <v>0.588549426402041</v>
      </c>
      <c r="AV480">
        <f t="shared" si="459"/>
        <v>1.5707963267949</v>
      </c>
      <c r="AW480" t="str">
        <f t="shared" si="435"/>
        <v>1+30,1326511251867i</v>
      </c>
      <c r="AX480">
        <f t="shared" si="460"/>
        <v>30.1492398549651</v>
      </c>
      <c r="AY480">
        <f t="shared" si="461"/>
        <v>1.53762191005937</v>
      </c>
      <c r="AZ480" t="str">
        <f t="shared" si="436"/>
        <v>1+1440,5971718786i</v>
      </c>
      <c r="BA480">
        <f t="shared" si="462"/>
        <v>1440.59751895685</v>
      </c>
      <c r="BB480">
        <f t="shared" si="463"/>
        <v>1.57010217033055</v>
      </c>
      <c r="BC480" s="30" t="str">
        <f t="shared" si="464"/>
        <v>-0,000718516557160679+0,0221138581679753i</v>
      </c>
      <c r="BD480" s="32">
        <f t="shared" si="465"/>
        <v>-33.1021271329145</v>
      </c>
      <c r="BE480" s="31">
        <f t="shared" si="466"/>
        <v>91.860981831025</v>
      </c>
      <c r="BF480" s="30" t="str">
        <f t="shared" si="467"/>
        <v>0,000687331216973367-0,0145701464413898i</v>
      </c>
      <c r="BG480" s="68">
        <f t="shared" si="468"/>
        <v>-36.7210676967642</v>
      </c>
      <c r="BH480" s="31">
        <f t="shared" si="469"/>
        <v>-87.2991346203226</v>
      </c>
      <c r="BI480" s="30" t="str">
        <f t="shared" si="423"/>
        <v>0,48459324903663+0,253931514230423i</v>
      </c>
      <c r="BJ480" s="68">
        <f t="shared" si="470"/>
        <v>-5.238761164154</v>
      </c>
      <c r="BK480" s="31">
        <f t="shared" si="424"/>
        <v>27.6549699871771</v>
      </c>
      <c r="BL480" s="32">
        <f t="shared" si="471"/>
        <v>-36.7210676967642</v>
      </c>
      <c r="BM480" s="31">
        <f t="shared" si="472"/>
        <v>-87.2991346203226</v>
      </c>
      <c r="BO480">
        <f t="shared" si="473"/>
        <v>0</v>
      </c>
      <c r="BP480">
        <f t="shared" si="474"/>
        <v>0</v>
      </c>
    </row>
    <row r="481" spans="14:68">
      <c r="N481" s="7">
        <v>63</v>
      </c>
      <c r="O481" s="18">
        <f t="shared" si="422"/>
        <v>426579.518801593</v>
      </c>
      <c r="P481" s="86" t="str">
        <f t="shared" si="425"/>
        <v>96,0576923076923</v>
      </c>
      <c r="Q481" s="4" t="str">
        <f t="shared" si="426"/>
        <v>1+3577,75899962511i</v>
      </c>
      <c r="R481" s="4">
        <f t="shared" si="437"/>
        <v>3577.75913937739</v>
      </c>
      <c r="S481" s="4">
        <f t="shared" si="438"/>
        <v>1.57051682222959</v>
      </c>
      <c r="T481" s="4" t="str">
        <f t="shared" si="427"/>
        <v>1+42,0267616252857i</v>
      </c>
      <c r="U481" s="4">
        <f t="shared" si="439"/>
        <v>42.0386571230408</v>
      </c>
      <c r="V481" s="4">
        <f t="shared" si="440"/>
        <v>1.54700645335418</v>
      </c>
      <c r="W481" t="str">
        <f t="shared" si="428"/>
        <v>1-19,9531818940911i</v>
      </c>
      <c r="X481" s="4">
        <f t="shared" si="441"/>
        <v>19.9782248385257</v>
      </c>
      <c r="Y481" s="4">
        <f t="shared" si="442"/>
        <v>-1.52072090442704</v>
      </c>
      <c r="Z481" t="str">
        <f t="shared" si="429"/>
        <v>-0,48547008866122+34,2035497159793i</v>
      </c>
      <c r="AA481" s="4">
        <f t="shared" si="443"/>
        <v>34.2069948165642</v>
      </c>
      <c r="AB481" s="4">
        <f t="shared" si="444"/>
        <v>1.58498893242109</v>
      </c>
      <c r="AC481" s="67" t="str">
        <f t="shared" si="445"/>
        <v>-0,659141440964916-0,00815560926574136i</v>
      </c>
      <c r="AD481" s="68">
        <f t="shared" si="446"/>
        <v>-3.61976283441232</v>
      </c>
      <c r="AE481" s="31">
        <f t="shared" si="447"/>
        <v>-179.291110955018</v>
      </c>
      <c r="AF481" s="32" t="str">
        <f t="shared" si="448"/>
        <v>236,914774604583</v>
      </c>
      <c r="AG481" s="32" t="str">
        <f t="shared" si="430"/>
        <v>1+883,5171478043i</v>
      </c>
      <c r="AH481" s="32">
        <f t="shared" si="449"/>
        <v>883.517713724091</v>
      </c>
      <c r="AI481" s="32">
        <f t="shared" si="450"/>
        <v>1.56966448733319</v>
      </c>
      <c r="AJ481" s="32" t="str">
        <f t="shared" si="431"/>
        <v>1+42,0267616252857i</v>
      </c>
      <c r="AK481" s="32">
        <f t="shared" si="451"/>
        <v>42.0386571230408</v>
      </c>
      <c r="AL481" s="32">
        <f t="shared" si="452"/>
        <v>1.54700645335418</v>
      </c>
      <c r="AM481" s="32" t="str">
        <f t="shared" si="432"/>
        <v>1-1,99776139175847i</v>
      </c>
      <c r="AN481" s="32">
        <f t="shared" si="453"/>
        <v>2.23406592973456</v>
      </c>
      <c r="AO481" s="32">
        <f t="shared" si="454"/>
        <v>-1.10670059490712</v>
      </c>
      <c r="AP481" s="30" t="str">
        <f t="shared" si="455"/>
        <v>10,759532233559-22,7696627295862i</v>
      </c>
      <c r="AQ481" s="32">
        <f t="shared" si="456"/>
        <v>28.022434082845</v>
      </c>
      <c r="AR481" s="31">
        <f t="shared" si="457"/>
        <v>-64.7074829918569</v>
      </c>
      <c r="AS481" t="str">
        <f t="shared" si="433"/>
        <v>-0,000272527472527473</v>
      </c>
      <c r="AT481" t="str">
        <f t="shared" si="434"/>
        <v>0,602258503648066i</v>
      </c>
      <c r="AU481">
        <f t="shared" si="458"/>
        <v>0.602258503648066</v>
      </c>
      <c r="AV481">
        <f t="shared" si="459"/>
        <v>1.5707963267949</v>
      </c>
      <c r="AW481" t="str">
        <f t="shared" si="435"/>
        <v>1+30,8345307352443i</v>
      </c>
      <c r="AX481">
        <f t="shared" si="460"/>
        <v>30.8507420601632</v>
      </c>
      <c r="AY481">
        <f t="shared" si="461"/>
        <v>1.5383765168096</v>
      </c>
      <c r="AZ481" t="str">
        <f t="shared" si="436"/>
        <v>1+1474,15299068285i</v>
      </c>
      <c r="BA481">
        <f t="shared" si="462"/>
        <v>1474.15332986063</v>
      </c>
      <c r="BB481">
        <f t="shared" si="463"/>
        <v>1.57011797125586</v>
      </c>
      <c r="BC481" s="30" t="str">
        <f t="shared" si="464"/>
        <v>-0,000686211962380479+0,0216115329765845i</v>
      </c>
      <c r="BD481" s="32">
        <f t="shared" si="465"/>
        <v>-33.3019121835651</v>
      </c>
      <c r="BE481" s="31">
        <f t="shared" si="466"/>
        <v>91.8186513753775</v>
      </c>
      <c r="BF481" s="30" t="str">
        <f t="shared" si="467"/>
        <v>0,000628565960281539-0,0142394605110081i</v>
      </c>
      <c r="BG481" s="68">
        <f t="shared" si="468"/>
        <v>-36.9216750179774</v>
      </c>
      <c r="BH481" s="31">
        <f t="shared" si="469"/>
        <v>-87.4724595796404</v>
      </c>
      <c r="BI481" s="30" t="str">
        <f t="shared" si="423"/>
        <v>0,484703997217873+0,248154800622595i</v>
      </c>
      <c r="BJ481" s="68">
        <f t="shared" si="470"/>
        <v>-5.27947810072011</v>
      </c>
      <c r="BK481" s="31">
        <f t="shared" si="424"/>
        <v>27.1111683835206</v>
      </c>
      <c r="BL481" s="32">
        <f t="shared" si="471"/>
        <v>-36.9216750179774</v>
      </c>
      <c r="BM481" s="31">
        <f t="shared" si="472"/>
        <v>-87.4724595796404</v>
      </c>
      <c r="BO481">
        <f t="shared" si="473"/>
        <v>0</v>
      </c>
      <c r="BP481">
        <f t="shared" si="474"/>
        <v>0</v>
      </c>
    </row>
    <row r="482" spans="14:68">
      <c r="N482" s="7">
        <v>64</v>
      </c>
      <c r="O482" s="18">
        <f t="shared" si="422"/>
        <v>436515.832240166</v>
      </c>
      <c r="P482" s="86" t="str">
        <f t="shared" si="425"/>
        <v>96,0576923076923</v>
      </c>
      <c r="Q482" s="4" t="str">
        <f t="shared" si="426"/>
        <v>1+3661,09571238577i</v>
      </c>
      <c r="R482" s="4">
        <f t="shared" si="437"/>
        <v>3661.0958489569</v>
      </c>
      <c r="S482" s="4">
        <f t="shared" si="438"/>
        <v>1.57052318452993</v>
      </c>
      <c r="T482" s="4" t="str">
        <f t="shared" si="427"/>
        <v>1+43,0056906594084i</v>
      </c>
      <c r="U482" s="4">
        <f t="shared" si="439"/>
        <v>43.017315456601</v>
      </c>
      <c r="V482" s="4">
        <f t="shared" si="440"/>
        <v>1.54754777960974</v>
      </c>
      <c r="W482" t="str">
        <f t="shared" si="428"/>
        <v>1-20,4179512059267i</v>
      </c>
      <c r="X482" s="4">
        <f t="shared" si="441"/>
        <v>20.4424247937372</v>
      </c>
      <c r="Y482" s="4">
        <f t="shared" si="442"/>
        <v>-1.52185892007301</v>
      </c>
      <c r="Z482" t="str">
        <f t="shared" si="429"/>
        <v>-0,55547813711286+35,0002527354879i</v>
      </c>
      <c r="AA482" s="4">
        <f t="shared" si="443"/>
        <v>35.0046603684258</v>
      </c>
      <c r="AB482" s="4">
        <f t="shared" si="444"/>
        <v>1.58666568381466</v>
      </c>
      <c r="AC482" s="67" t="str">
        <f t="shared" si="445"/>
        <v>-0,659096150704477-0,00665224919703933i</v>
      </c>
      <c r="AD482" s="68">
        <f t="shared" si="446"/>
        <v>-3.62058210864541</v>
      </c>
      <c r="AE482" s="31">
        <f t="shared" si="447"/>
        <v>-179.421734049871</v>
      </c>
      <c r="AF482" s="32" t="str">
        <f t="shared" si="448"/>
        <v>236,914774604583</v>
      </c>
      <c r="AG482" s="32" t="str">
        <f t="shared" si="430"/>
        <v>1+904,096905908017i</v>
      </c>
      <c r="AH482" s="32">
        <f t="shared" si="449"/>
        <v>904.097458945909</v>
      </c>
      <c r="AI482" s="32">
        <f t="shared" si="450"/>
        <v>1.56969025112351</v>
      </c>
      <c r="AJ482" s="32" t="str">
        <f t="shared" si="431"/>
        <v>1+43,0056906594084i</v>
      </c>
      <c r="AK482" s="32">
        <f t="shared" si="451"/>
        <v>43.017315456601</v>
      </c>
      <c r="AL482" s="32">
        <f t="shared" si="452"/>
        <v>1.54754777960974</v>
      </c>
      <c r="AM482" s="32" t="str">
        <f t="shared" si="432"/>
        <v>1-2,04429523243549i</v>
      </c>
      <c r="AN482" s="32">
        <f t="shared" si="453"/>
        <v>2.27577305488893</v>
      </c>
      <c r="AO482" s="32">
        <f t="shared" si="454"/>
        <v>-1.11585331172562</v>
      </c>
      <c r="AP482" s="30" t="str">
        <f t="shared" si="455"/>
        <v>10,7595191940805-23,2882473556264i</v>
      </c>
      <c r="AQ482" s="32">
        <f t="shared" si="456"/>
        <v>28.1829830399373</v>
      </c>
      <c r="AR482" s="31">
        <f t="shared" si="457"/>
        <v>-65.2023554833022</v>
      </c>
      <c r="AS482" t="str">
        <f t="shared" si="433"/>
        <v>-0,000272527472527473</v>
      </c>
      <c r="AT482" t="str">
        <f t="shared" si="434"/>
        <v>0,616286906324558i</v>
      </c>
      <c r="AU482">
        <f t="shared" si="458"/>
        <v>0.616286906324558</v>
      </c>
      <c r="AV482">
        <f t="shared" si="459"/>
        <v>1.5707963267949</v>
      </c>
      <c r="AW482" t="str">
        <f t="shared" si="435"/>
        <v>1+31,552759221641i</v>
      </c>
      <c r="AX482">
        <f t="shared" si="460"/>
        <v>31.5686017190951</v>
      </c>
      <c r="AY482">
        <f t="shared" si="461"/>
        <v>1.53911398230426</v>
      </c>
      <c r="AZ482" t="str">
        <f t="shared" si="436"/>
        <v>1+1508,49042491547i</v>
      </c>
      <c r="BA482">
        <f t="shared" si="462"/>
        <v>1508.49075637263</v>
      </c>
      <c r="BB482">
        <f t="shared" si="463"/>
        <v>1.57013341250854</v>
      </c>
      <c r="BC482" s="30" t="str">
        <f t="shared" si="464"/>
        <v>-0,000655358327231623+0,0211205722693284i</v>
      </c>
      <c r="BD482" s="32">
        <f t="shared" si="465"/>
        <v>-33.5017068985898</v>
      </c>
      <c r="BE482" s="31">
        <f t="shared" si="466"/>
        <v>91.7772824336058</v>
      </c>
      <c r="BF482" s="30" t="str">
        <f t="shared" si="467"/>
        <v>0,000572443460730139-0,013916128276484i</v>
      </c>
      <c r="BG482" s="68">
        <f t="shared" si="468"/>
        <v>-37.1222890072352</v>
      </c>
      <c r="BH482" s="31">
        <f t="shared" si="469"/>
        <v>-87.6444516162653</v>
      </c>
      <c r="BI482" s="30" t="str">
        <f t="shared" si="423"/>
        <v>0,484809770799654+0,242509349552943i</v>
      </c>
      <c r="BJ482" s="68">
        <f t="shared" si="470"/>
        <v>-5.31872385865249</v>
      </c>
      <c r="BK482" s="31">
        <f t="shared" si="424"/>
        <v>26.5749269503037</v>
      </c>
      <c r="BL482" s="32">
        <f t="shared" si="471"/>
        <v>-37.1222890072352</v>
      </c>
      <c r="BM482" s="31">
        <f t="shared" si="472"/>
        <v>-87.6444516162653</v>
      </c>
      <c r="BO482">
        <f t="shared" si="473"/>
        <v>0</v>
      </c>
      <c r="BP482">
        <f t="shared" si="474"/>
        <v>0</v>
      </c>
    </row>
    <row r="483" spans="14:68">
      <c r="N483" s="7">
        <v>65</v>
      </c>
      <c r="O483" s="18">
        <f t="shared" si="422"/>
        <v>446683.592150964</v>
      </c>
      <c r="P483" s="86" t="str">
        <f t="shared" si="425"/>
        <v>96,0576923076923</v>
      </c>
      <c r="Q483" s="4" t="str">
        <f t="shared" si="426"/>
        <v>1+3746,37358655348i</v>
      </c>
      <c r="R483" s="4">
        <f t="shared" si="437"/>
        <v>3746.37372001587</v>
      </c>
      <c r="S483" s="4">
        <f t="shared" si="438"/>
        <v>1.57052940200666</v>
      </c>
      <c r="T483" s="4" t="str">
        <f t="shared" si="427"/>
        <v>1+44,0074218799667i</v>
      </c>
      <c r="U483" s="4">
        <f t="shared" si="439"/>
        <v>44.0187821335549</v>
      </c>
      <c r="V483" s="4">
        <f t="shared" si="440"/>
        <v>1.54807679694392</v>
      </c>
      <c r="W483" t="str">
        <f t="shared" si="428"/>
        <v>1-20,8935463857552i</v>
      </c>
      <c r="X483" s="4">
        <f t="shared" si="441"/>
        <v>20.9174635310715</v>
      </c>
      <c r="Y483" s="4">
        <f t="shared" si="442"/>
        <v>-1.52297115391376</v>
      </c>
      <c r="Z483" t="str">
        <f t="shared" si="429"/>
        <v>-0,62878556323992+35,8155133522802i</v>
      </c>
      <c r="AA483" s="4">
        <f t="shared" si="443"/>
        <v>35.82103248054</v>
      </c>
      <c r="AB483" s="4">
        <f t="shared" si="444"/>
        <v>1.58835075823029</v>
      </c>
      <c r="AC483" s="67" t="str">
        <f t="shared" si="445"/>
        <v>-0,659047506915491-0,00515262827417645i</v>
      </c>
      <c r="AD483" s="68">
        <f t="shared" si="446"/>
        <v>-3.62140011246983</v>
      </c>
      <c r="AE483" s="31">
        <f t="shared" si="447"/>
        <v>-179.552053781596</v>
      </c>
      <c r="AF483" s="32" t="str">
        <f t="shared" si="448"/>
        <v>236,914774604583</v>
      </c>
      <c r="AG483" s="32" t="str">
        <f t="shared" si="430"/>
        <v>1+925,15602815839i</v>
      </c>
      <c r="AH483" s="32">
        <f t="shared" si="449"/>
        <v>925.15656860761</v>
      </c>
      <c r="AI483" s="32">
        <f t="shared" si="450"/>
        <v>1.56971542845979</v>
      </c>
      <c r="AJ483" s="32" t="str">
        <f t="shared" si="431"/>
        <v>1+44,0074218799667i</v>
      </c>
      <c r="AK483" s="32">
        <f t="shared" si="451"/>
        <v>44.0187821335549</v>
      </c>
      <c r="AL483" s="32">
        <f t="shared" si="452"/>
        <v>1.54807679694392</v>
      </c>
      <c r="AM483" s="32" t="str">
        <f t="shared" si="432"/>
        <v>1-2,0919129855042i</v>
      </c>
      <c r="AN483" s="32">
        <f t="shared" si="453"/>
        <v>2.31864183066749</v>
      </c>
      <c r="AO483" s="32">
        <f t="shared" si="454"/>
        <v>-1.12487758369557</v>
      </c>
      <c r="AP483" s="30" t="str">
        <f t="shared" si="455"/>
        <v>10,7595067414738-23,8191797173725i</v>
      </c>
      <c r="AQ483" s="32">
        <f t="shared" si="456"/>
        <v>28.3449719618717</v>
      </c>
      <c r="AR483" s="31">
        <f t="shared" si="457"/>
        <v>-65.6905402749285</v>
      </c>
      <c r="AS483" t="str">
        <f t="shared" si="433"/>
        <v>-0,000272527472527473</v>
      </c>
      <c r="AT483" t="str">
        <f t="shared" si="434"/>
        <v>0,630642072476307i</v>
      </c>
      <c r="AU483">
        <f t="shared" si="458"/>
        <v>0.630642072476307</v>
      </c>
      <c r="AV483">
        <f t="shared" si="459"/>
        <v>1.5707963267949</v>
      </c>
      <c r="AW483" t="str">
        <f t="shared" si="435"/>
        <v>1+32,2877173986273i</v>
      </c>
      <c r="AX483">
        <f t="shared" si="460"/>
        <v>32.3031994516584</v>
      </c>
      <c r="AY483">
        <f t="shared" si="461"/>
        <v>1.53983469434686</v>
      </c>
      <c r="AZ483" t="str">
        <f t="shared" si="436"/>
        <v>1+1543,62768073863i</v>
      </c>
      <c r="BA483">
        <f t="shared" si="462"/>
        <v>1543.6280046509</v>
      </c>
      <c r="BB483">
        <f t="shared" si="463"/>
        <v>1.57014850227569</v>
      </c>
      <c r="BC483" s="30" t="str">
        <f t="shared" si="464"/>
        <v>-0,000625890610178482+0,0206407220097503i</v>
      </c>
      <c r="BD483" s="32">
        <f t="shared" si="465"/>
        <v>-33.7015108438936</v>
      </c>
      <c r="BE483" s="31">
        <f t="shared" si="466"/>
        <v>91.736853255292</v>
      </c>
      <c r="BF483" s="30" t="str">
        <f t="shared" si="467"/>
        <v>0,0005188456140668-0,0135999913998071i</v>
      </c>
      <c r="BG483" s="68">
        <f t="shared" si="468"/>
        <v>-37.3229109563634</v>
      </c>
      <c r="BH483" s="31">
        <f t="shared" si="469"/>
        <v>-87.8152005263044</v>
      </c>
      <c r="BI483" s="30" t="str">
        <f t="shared" si="423"/>
        <v>0,484910792806928+0,236992188540052i</v>
      </c>
      <c r="BJ483" s="68">
        <f t="shared" si="470"/>
        <v>-5.3565388820219</v>
      </c>
      <c r="BK483" s="31">
        <f t="shared" si="424"/>
        <v>26.0463129803634</v>
      </c>
      <c r="BL483" s="32">
        <f t="shared" si="471"/>
        <v>-37.3229109563634</v>
      </c>
      <c r="BM483" s="31">
        <f t="shared" si="472"/>
        <v>-87.8152005263044</v>
      </c>
      <c r="BO483">
        <f t="shared" si="473"/>
        <v>0</v>
      </c>
      <c r="BP483">
        <f t="shared" si="474"/>
        <v>0</v>
      </c>
    </row>
    <row r="484" spans="14:68">
      <c r="N484" s="7">
        <v>66</v>
      </c>
      <c r="O484" s="18">
        <f t="shared" ref="O484:O518" si="475">10^(5+(N484/100))</f>
        <v>457088.189614875</v>
      </c>
      <c r="P484" s="86" t="str">
        <f t="shared" si="425"/>
        <v>96,0576923076923</v>
      </c>
      <c r="Q484" s="4" t="str">
        <f t="shared" si="426"/>
        <v>1+3833,63783758588i</v>
      </c>
      <c r="R484" s="4">
        <f t="shared" si="437"/>
        <v>3833.6379680103</v>
      </c>
      <c r="S484" s="4">
        <f t="shared" si="438"/>
        <v>1.57053547795636</v>
      </c>
      <c r="T484" s="4" t="str">
        <f t="shared" si="427"/>
        <v>1+45,0324864181125i</v>
      </c>
      <c r="U484" s="4">
        <f t="shared" si="439"/>
        <v>45.0435881452342</v>
      </c>
      <c r="V484" s="4">
        <f t="shared" si="440"/>
        <v>1.54859378466363</v>
      </c>
      <c r="W484" t="str">
        <f t="shared" si="428"/>
        <v>1-21,3802196004361i</v>
      </c>
      <c r="X484" s="4">
        <f t="shared" si="441"/>
        <v>21.4035929264895</v>
      </c>
      <c r="Y484" s="4">
        <f t="shared" si="442"/>
        <v>-1.52405818465689</v>
      </c>
      <c r="Z484" t="str">
        <f t="shared" si="429"/>
        <v>-0,70554786192167+36,649763828326i</v>
      </c>
      <c r="AA484" s="4">
        <f t="shared" si="443"/>
        <v>36.6565544815322</v>
      </c>
      <c r="AB484" s="4">
        <f t="shared" si="444"/>
        <v>1.59004503805215</v>
      </c>
      <c r="AC484" s="67" t="str">
        <f t="shared" si="445"/>
        <v>-0,65899540787006-0,00365597110173695i</v>
      </c>
      <c r="AD484" s="68">
        <f t="shared" si="446"/>
        <v>-3.62221856927995</v>
      </c>
      <c r="AE484" s="31">
        <f t="shared" si="447"/>
        <v>-179.68213805036</v>
      </c>
      <c r="AF484" s="32" t="str">
        <f t="shared" si="448"/>
        <v>236,914774604583</v>
      </c>
      <c r="AG484" s="32" t="str">
        <f t="shared" si="430"/>
        <v>1+946,705680380773i</v>
      </c>
      <c r="AH484" s="32">
        <f t="shared" si="449"/>
        <v>946.706208527874</v>
      </c>
      <c r="AI484" s="32">
        <f t="shared" si="450"/>
        <v>1.56974003269124</v>
      </c>
      <c r="AJ484" s="32" t="str">
        <f t="shared" si="431"/>
        <v>1+45,0324864181125i</v>
      </c>
      <c r="AK484" s="32">
        <f t="shared" si="451"/>
        <v>45.0435881452342</v>
      </c>
      <c r="AL484" s="32">
        <f t="shared" si="452"/>
        <v>1.54859378466363</v>
      </c>
      <c r="AM484" s="32" t="str">
        <f t="shared" si="432"/>
        <v>1-2,14063989852755i</v>
      </c>
      <c r="AN484" s="32">
        <f t="shared" si="453"/>
        <v>2.36269743623005</v>
      </c>
      <c r="AO484" s="32">
        <f t="shared" si="454"/>
        <v>-1.13377231531076</v>
      </c>
      <c r="AP484" s="30" t="str">
        <f t="shared" si="455"/>
        <v>10,7594948493255-24,3627413222767i</v>
      </c>
      <c r="AQ484" s="32">
        <f t="shared" si="456"/>
        <v>28.508360178554</v>
      </c>
      <c r="AR484" s="31">
        <f t="shared" si="457"/>
        <v>-66.1719593606012</v>
      </c>
      <c r="AS484" t="str">
        <f t="shared" si="433"/>
        <v>-0,000272527472527473</v>
      </c>
      <c r="AT484" t="str">
        <f t="shared" si="434"/>
        <v>0,645331613402415i</v>
      </c>
      <c r="AU484">
        <f t="shared" si="458"/>
        <v>0.645331613402415</v>
      </c>
      <c r="AV484">
        <f t="shared" si="459"/>
        <v>1.5707963267949</v>
      </c>
      <c r="AW484" t="str">
        <f t="shared" si="435"/>
        <v>1+33,0397949507566i</v>
      </c>
      <c r="AX484">
        <f t="shared" si="460"/>
        <v>33.0549247524184</v>
      </c>
      <c r="AY484">
        <f t="shared" si="461"/>
        <v>1.54053903207193</v>
      </c>
      <c r="AZ484" t="str">
        <f t="shared" si="436"/>
        <v>1+1579,58338839042i</v>
      </c>
      <c r="BA484">
        <f t="shared" si="462"/>
        <v>1579.58370492955</v>
      </c>
      <c r="BB484">
        <f t="shared" si="463"/>
        <v>1.57016324855809</v>
      </c>
      <c r="BC484" s="30" t="str">
        <f t="shared" si="464"/>
        <v>-0,00059774667399777+0,0201717336346653i</v>
      </c>
      <c r="BD484" s="32">
        <f t="shared" si="465"/>
        <v>-33.9013236048427</v>
      </c>
      <c r="BE484" s="31">
        <f t="shared" si="466"/>
        <v>91.6973425760393</v>
      </c>
      <c r="BF484" s="30" t="str">
        <f t="shared" si="467"/>
        <v>0,000467659588474404-0,0132908944894562i</v>
      </c>
      <c r="BG484" s="68">
        <f t="shared" si="468"/>
        <v>-37.5235421741227</v>
      </c>
      <c r="BH484" s="31">
        <f t="shared" si="469"/>
        <v>-87.9847954743209</v>
      </c>
      <c r="BI484" s="30" t="str">
        <f t="shared" si="423"/>
        <v>0,485007276303139+0,231600411739006i</v>
      </c>
      <c r="BJ484" s="68">
        <f t="shared" si="470"/>
        <v>-5.39296342628876</v>
      </c>
      <c r="BK484" s="31">
        <f t="shared" si="424"/>
        <v>25.525383215438</v>
      </c>
      <c r="BL484" s="32">
        <f t="shared" si="471"/>
        <v>-37.5235421741227</v>
      </c>
      <c r="BM484" s="31">
        <f t="shared" si="472"/>
        <v>-87.9847954743209</v>
      </c>
      <c r="BO484">
        <f t="shared" si="473"/>
        <v>0</v>
      </c>
      <c r="BP484">
        <f t="shared" si="474"/>
        <v>0</v>
      </c>
    </row>
    <row r="485" spans="14:68">
      <c r="N485" s="7">
        <v>67</v>
      </c>
      <c r="O485" s="18">
        <f t="shared" si="475"/>
        <v>467735.141287199</v>
      </c>
      <c r="P485" s="86" t="str">
        <f t="shared" si="425"/>
        <v>96,0576923076923</v>
      </c>
      <c r="Q485" s="4" t="str">
        <f t="shared" si="426"/>
        <v>1+3922,93473414399i</v>
      </c>
      <c r="R485" s="4">
        <f t="shared" si="437"/>
        <v>3922.93486159959</v>
      </c>
      <c r="S485" s="4">
        <f t="shared" si="438"/>
        <v>1.57054141560057</v>
      </c>
      <c r="T485" s="4" t="str">
        <f t="shared" si="427"/>
        <v>1+46,0814277766329i</v>
      </c>
      <c r="U485" s="4">
        <f t="shared" si="439"/>
        <v>46.0922768577669</v>
      </c>
      <c r="V485" s="4">
        <f t="shared" si="440"/>
        <v>1.54909901577654</v>
      </c>
      <c r="W485" t="str">
        <f t="shared" si="428"/>
        <v>1-21,8782288905499i</v>
      </c>
      <c r="X485" s="4">
        <f t="shared" si="441"/>
        <v>21.9010707360917</v>
      </c>
      <c r="Y485" s="4">
        <f t="shared" si="442"/>
        <v>-1.52512057837886</v>
      </c>
      <c r="Z485" t="str">
        <f t="shared" si="429"/>
        <v>-0,78592785628537+37,5034464942708i</v>
      </c>
      <c r="AA485" s="4">
        <f t="shared" si="443"/>
        <v>37.5116806014329</v>
      </c>
      <c r="AB485" s="4">
        <f t="shared" si="444"/>
        <v>1.5917494100613</v>
      </c>
      <c r="AC485" s="67" t="str">
        <f t="shared" si="445"/>
        <v>-0,65893974467399-0,0021615049488172i</v>
      </c>
      <c r="AD485" s="68">
        <f t="shared" si="446"/>
        <v>-3.62303920350051</v>
      </c>
      <c r="AE485" s="31">
        <f t="shared" si="447"/>
        <v>-179.81205464116</v>
      </c>
      <c r="AF485" s="32" t="str">
        <f t="shared" si="448"/>
        <v>236,914774604583</v>
      </c>
      <c r="AG485" s="32" t="str">
        <f t="shared" si="430"/>
        <v>1+968,757288486031i</v>
      </c>
      <c r="AH485" s="32">
        <f t="shared" si="449"/>
        <v>968.757804611043</v>
      </c>
      <c r="AI485" s="32">
        <f t="shared" si="450"/>
        <v>1.56976407686325</v>
      </c>
      <c r="AJ485" s="32" t="str">
        <f t="shared" si="431"/>
        <v>1+46,0814277766329i</v>
      </c>
      <c r="AK485" s="32">
        <f t="shared" si="451"/>
        <v>46.0922768577669</v>
      </c>
      <c r="AL485" s="32">
        <f t="shared" si="452"/>
        <v>1.54909901577654</v>
      </c>
      <c r="AM485" s="32" t="str">
        <f t="shared" si="432"/>
        <v>1-2,19050180715983i</v>
      </c>
      <c r="AN485" s="32">
        <f t="shared" si="453"/>
        <v>2.40796556602674</v>
      </c>
      <c r="AO485" s="32">
        <f t="shared" si="454"/>
        <v>-1.14253659192691</v>
      </c>
      <c r="AP485" s="30" t="str">
        <f t="shared" si="455"/>
        <v>10,7594834924108-24,9192203739782i</v>
      </c>
      <c r="AQ485" s="32">
        <f t="shared" si="456"/>
        <v>28.6731072998271</v>
      </c>
      <c r="AR485" s="31">
        <f t="shared" si="457"/>
        <v>-66.6465454403213</v>
      </c>
      <c r="AS485" t="str">
        <f t="shared" si="433"/>
        <v>-0,000272527472527473</v>
      </c>
      <c r="AT485" t="str">
        <f t="shared" si="434"/>
        <v>0,660363317691926i</v>
      </c>
      <c r="AU485">
        <f t="shared" si="458"/>
        <v>0.660363317691926</v>
      </c>
      <c r="AV485">
        <f t="shared" si="459"/>
        <v>1.5707963267949</v>
      </c>
      <c r="AW485" t="str">
        <f t="shared" si="435"/>
        <v>1+33,8093906395023i</v>
      </c>
      <c r="AX485">
        <f t="shared" si="460"/>
        <v>33.8241761971296</v>
      </c>
      <c r="AY485">
        <f t="shared" si="461"/>
        <v>1.5412273661317</v>
      </c>
      <c r="AZ485" t="str">
        <f t="shared" si="436"/>
        <v>1+1616,37661206301i</v>
      </c>
      <c r="BA485">
        <f t="shared" si="462"/>
        <v>1616.37692139683</v>
      </c>
      <c r="BB485">
        <f t="shared" si="463"/>
        <v>1.5701776591744</v>
      </c>
      <c r="BC485" s="30" t="str">
        <f t="shared" si="464"/>
        <v>-0,000570867157083728+0,0197133639500977i</v>
      </c>
      <c r="BD485" s="32">
        <f t="shared" si="465"/>
        <v>-34.1011447853947</v>
      </c>
      <c r="BE485" s="31">
        <f t="shared" si="466"/>
        <v>91.6587296070135</v>
      </c>
      <c r="BF485" s="30" t="str">
        <f t="shared" si="467"/>
        <v>0,000418777592467489-0,0129886850757577i</v>
      </c>
      <c r="BG485" s="68">
        <f t="shared" si="468"/>
        <v>-37.7241839888952</v>
      </c>
      <c r="BH485" s="31">
        <f t="shared" si="469"/>
        <v>-88.1533250341467</v>
      </c>
      <c r="BI485" s="30" t="str">
        <f t="shared" si="423"/>
        <v>0,48509942483192+0,226331178492598i</v>
      </c>
      <c r="BJ485" s="68">
        <f t="shared" si="470"/>
        <v>-5.42803748556768</v>
      </c>
      <c r="BK485" s="31">
        <f t="shared" si="424"/>
        <v>25.0121841666921</v>
      </c>
      <c r="BL485" s="32">
        <f t="shared" si="471"/>
        <v>-37.7241839888952</v>
      </c>
      <c r="BM485" s="31">
        <f t="shared" si="472"/>
        <v>-88.1533250341467</v>
      </c>
      <c r="BO485">
        <f t="shared" si="473"/>
        <v>0</v>
      </c>
      <c r="BP485">
        <f t="shared" si="474"/>
        <v>0</v>
      </c>
    </row>
    <row r="486" spans="14:68">
      <c r="N486" s="7">
        <v>68</v>
      </c>
      <c r="O486" s="18">
        <f t="shared" si="475"/>
        <v>478630.092322639</v>
      </c>
      <c r="P486" s="86" t="str">
        <f t="shared" si="425"/>
        <v>96,0576923076923</v>
      </c>
      <c r="Q486" s="4" t="str">
        <f t="shared" si="426"/>
        <v>1+4014,31162262429i</v>
      </c>
      <c r="R486" s="4">
        <f t="shared" si="437"/>
        <v>4014.31174717864</v>
      </c>
      <c r="S486" s="4">
        <f t="shared" si="438"/>
        <v>1.57054721808752</v>
      </c>
      <c r="T486" s="4" t="str">
        <f t="shared" si="427"/>
        <v>1+47,15480211812i</v>
      </c>
      <c r="U486" s="4">
        <f t="shared" si="439"/>
        <v>47.1654043001759</v>
      </c>
      <c r="V486" s="4">
        <f t="shared" si="440"/>
        <v>1.54959275713057</v>
      </c>
      <c r="W486" t="str">
        <f t="shared" si="428"/>
        <v>1-22,387838307214i</v>
      </c>
      <c r="X486" s="4">
        <f t="shared" si="441"/>
        <v>22.4101607328006</v>
      </c>
      <c r="Y486" s="4">
        <f t="shared" si="442"/>
        <v>-1.52615888877659</v>
      </c>
      <c r="Z486" t="str">
        <f t="shared" si="429"/>
        <v>-0,87009604307574+38,3770139839634i</v>
      </c>
      <c r="AA486" s="4">
        <f t="shared" si="443"/>
        <v>38.3868762658477</v>
      </c>
      <c r="AB486" s="4">
        <f t="shared" si="444"/>
        <v>1.59346476585128</v>
      </c>
      <c r="AC486" s="67" t="str">
        <f t="shared" si="445"/>
        <v>-0,658880401049362-0,000668459436936519i</v>
      </c>
      <c r="AD486" s="68">
        <f t="shared" si="446"/>
        <v>-3.62386374414646</v>
      </c>
      <c r="AE486" s="31">
        <f t="shared" si="447"/>
        <v>-179.94187125416</v>
      </c>
      <c r="AF486" s="32" t="str">
        <f t="shared" si="448"/>
        <v>236,914774604583</v>
      </c>
      <c r="AG486" s="32" t="str">
        <f t="shared" si="430"/>
        <v>1+991,322544528658i</v>
      </c>
      <c r="AH486" s="32">
        <f t="shared" si="449"/>
        <v>991.323048905236</v>
      </c>
      <c r="AI486" s="32">
        <f t="shared" si="450"/>
        <v>1.56978757372424</v>
      </c>
      <c r="AJ486" s="32" t="str">
        <f t="shared" si="431"/>
        <v>1+47,15480211812i</v>
      </c>
      <c r="AK486" s="32">
        <f t="shared" si="451"/>
        <v>47.1654043001759</v>
      </c>
      <c r="AL486" s="32">
        <f t="shared" si="452"/>
        <v>1.54959275713057</v>
      </c>
      <c r="AM486" s="32" t="str">
        <f t="shared" si="432"/>
        <v>1-2,24152514884497i</v>
      </c>
      <c r="AN486" s="32">
        <f t="shared" si="453"/>
        <v>2.4544724469638</v>
      </c>
      <c r="AO486" s="32">
        <f t="shared" si="454"/>
        <v>-1.15116967380377</v>
      </c>
      <c r="AP486" s="30" t="str">
        <f t="shared" si="455"/>
        <v>10,7594726466405-25,4889119251111i</v>
      </c>
      <c r="AQ486" s="32">
        <f t="shared" si="456"/>
        <v>28.8391732824038</v>
      </c>
      <c r="AR486" s="31">
        <f t="shared" si="457"/>
        <v>-67.1142415712654</v>
      </c>
      <c r="AS486" t="str">
        <f t="shared" si="433"/>
        <v>-0,000272527472527473</v>
      </c>
      <c r="AT486" t="str">
        <f t="shared" si="434"/>
        <v>0,675745155353417i</v>
      </c>
      <c r="AU486">
        <f t="shared" si="458"/>
        <v>0.675745155353417</v>
      </c>
      <c r="AV486">
        <f t="shared" si="459"/>
        <v>1.5707963267949</v>
      </c>
      <c r="AW486" t="str">
        <f t="shared" si="435"/>
        <v>1+34,5969125146852i</v>
      </c>
      <c r="AX486">
        <f t="shared" si="460"/>
        <v>34.6113616540693</v>
      </c>
      <c r="AY486">
        <f t="shared" si="461"/>
        <v>1.54190005887944</v>
      </c>
      <c r="AZ486" t="str">
        <f t="shared" si="436"/>
        <v>1+1654,02686001058i</v>
      </c>
      <c r="BA486">
        <f t="shared" si="462"/>
        <v>1654.0271623031</v>
      </c>
      <c r="BB486">
        <f t="shared" si="463"/>
        <v>1.57019174176527</v>
      </c>
      <c r="BC486" s="30" t="str">
        <f t="shared" si="464"/>
        <v>-0,000545195350368527+0,0192653750282293i</v>
      </c>
      <c r="BD486" s="32">
        <f t="shared" si="465"/>
        <v>-34.3009740072681</v>
      </c>
      <c r="BE486" s="31">
        <f t="shared" si="466"/>
        <v>91.6209940246807</v>
      </c>
      <c r="BF486" s="30" t="str">
        <f t="shared" si="467"/>
        <v>0,000372096652844804-0,0126932135839892i</v>
      </c>
      <c r="BG486" s="68">
        <f t="shared" si="468"/>
        <v>-37.9248377514146</v>
      </c>
      <c r="BH486" s="31">
        <f t="shared" si="469"/>
        <v>-88.3208772294793</v>
      </c>
      <c r="BI486" s="30" t="str">
        <f t="shared" si="423"/>
        <v>0,485187432839406+0,221181711911028i</v>
      </c>
      <c r="BJ486" s="68">
        <f t="shared" si="470"/>
        <v>-5.4618007248643</v>
      </c>
      <c r="BK486" s="31">
        <f t="shared" si="424"/>
        <v>24.5067524534153</v>
      </c>
      <c r="BL486" s="32">
        <f t="shared" si="471"/>
        <v>-37.9248377514146</v>
      </c>
      <c r="BM486" s="31">
        <f t="shared" si="472"/>
        <v>-88.3208772294793</v>
      </c>
      <c r="BO486">
        <f t="shared" si="473"/>
        <v>0</v>
      </c>
      <c r="BP486">
        <f t="shared" si="474"/>
        <v>0</v>
      </c>
    </row>
    <row r="487" spans="14:68">
      <c r="N487" s="7">
        <v>69</v>
      </c>
      <c r="O487" s="18">
        <f t="shared" si="475"/>
        <v>489778.819368447</v>
      </c>
      <c r="P487" s="86" t="str">
        <f t="shared" si="425"/>
        <v>96,0576923076923</v>
      </c>
      <c r="Q487" s="4" t="str">
        <f t="shared" si="426"/>
        <v>1+4107,81695226263i</v>
      </c>
      <c r="R487" s="4">
        <f t="shared" si="437"/>
        <v>4107.81707398178</v>
      </c>
      <c r="S487" s="4">
        <f t="shared" si="438"/>
        <v>1.57055288849376</v>
      </c>
      <c r="T487" s="4" t="str">
        <f t="shared" si="427"/>
        <v>1+48,2531785598579i</v>
      </c>
      <c r="U487" s="4">
        <f t="shared" si="439"/>
        <v>48.2635394591977</v>
      </c>
      <c r="V487" s="4">
        <f t="shared" si="440"/>
        <v>1.55007526955045</v>
      </c>
      <c r="W487" t="str">
        <f t="shared" si="428"/>
        <v>1-22,9093180520868i</v>
      </c>
      <c r="X487" s="4">
        <f t="shared" si="441"/>
        <v>22.9311328462348</v>
      </c>
      <c r="Y487" s="4">
        <f t="shared" si="442"/>
        <v>-1.52717365741579</v>
      </c>
      <c r="Z487" t="str">
        <f t="shared" si="429"/>
        <v>-0,95823095430164+39,2709294744503i</v>
      </c>
      <c r="AA487" s="4">
        <f t="shared" si="443"/>
        <v>39.2826183998601</v>
      </c>
      <c r="AB487" s="4">
        <f t="shared" si="444"/>
        <v>1.59519200224375</v>
      </c>
      <c r="AC487" s="67" t="str">
        <f t="shared" si="445"/>
        <v>-0,658817253102915+0,00082393376532471i</v>
      </c>
      <c r="AD487" s="68">
        <f t="shared" si="446"/>
        <v>-3.62469392839222</v>
      </c>
      <c r="AE487" s="31">
        <f t="shared" si="447"/>
        <v>179.928344464998</v>
      </c>
      <c r="AF487" s="32" t="str">
        <f t="shared" si="448"/>
        <v>236,914774604583</v>
      </c>
      <c r="AG487" s="32" t="str">
        <f t="shared" si="430"/>
        <v>1+1014,4134129061i</v>
      </c>
      <c r="AH487" s="32">
        <f t="shared" si="449"/>
        <v>1014.41390580167</v>
      </c>
      <c r="AI487" s="32">
        <f t="shared" si="450"/>
        <v>1.56981053573245</v>
      </c>
      <c r="AJ487" s="32" t="str">
        <f t="shared" si="431"/>
        <v>1+48,2531785598579i</v>
      </c>
      <c r="AK487" s="32">
        <f t="shared" si="451"/>
        <v>48.2635394591977</v>
      </c>
      <c r="AL487" s="32">
        <f t="shared" si="452"/>
        <v>1.55007526955045</v>
      </c>
      <c r="AM487" s="32" t="str">
        <f t="shared" si="432"/>
        <v>1-2,29373697683414i</v>
      </c>
      <c r="AN487" s="32">
        <f t="shared" si="453"/>
        <v>2.50224485590364</v>
      </c>
      <c r="AO487" s="32">
        <f t="shared" si="454"/>
        <v>-1.15967098988176</v>
      </c>
      <c r="AP487" s="30" t="str">
        <f t="shared" si="455"/>
        <v>10,7594622890092-26,0721180337475i</v>
      </c>
      <c r="AQ487" s="32">
        <f t="shared" si="456"/>
        <v>29.0065184918551</v>
      </c>
      <c r="AR487" s="31">
        <f t="shared" si="457"/>
        <v>-67.575000803779</v>
      </c>
      <c r="AS487" t="str">
        <f t="shared" si="433"/>
        <v>-0,000272527472527473</v>
      </c>
      <c r="AT487" t="str">
        <f t="shared" si="434"/>
        <v>0,691485282040821i</v>
      </c>
      <c r="AU487">
        <f t="shared" si="458"/>
        <v>0.691485282040821</v>
      </c>
      <c r="AV487">
        <f t="shared" si="459"/>
        <v>1.5707963267949</v>
      </c>
      <c r="AW487" t="str">
        <f t="shared" si="435"/>
        <v>1+35,4027781308277i</v>
      </c>
      <c r="AX487">
        <f t="shared" si="460"/>
        <v>35.4168985003008</v>
      </c>
      <c r="AY487">
        <f t="shared" si="461"/>
        <v>1.54255746454912</v>
      </c>
      <c r="AZ487" t="str">
        <f t="shared" si="436"/>
        <v>1+1692,55409489297i</v>
      </c>
      <c r="BA487">
        <f t="shared" si="462"/>
        <v>1692.55439030448</v>
      </c>
      <c r="BB487">
        <f t="shared" si="463"/>
        <v>1.57020550379748</v>
      </c>
      <c r="BC487" s="30" t="str">
        <f t="shared" si="464"/>
        <v>-0,000520677079620668+0,0188275341054263i</v>
      </c>
      <c r="BD487" s="32">
        <f t="shared" si="465"/>
        <v>-34.5008109091487</v>
      </c>
      <c r="BE487" s="31">
        <f t="shared" si="466"/>
        <v>91.5841159607427</v>
      </c>
      <c r="BF487" s="30" t="str">
        <f t="shared" si="467"/>
        <v>0,000327518402282073-0,0124043333054651i</v>
      </c>
      <c r="BG487" s="68">
        <f t="shared" si="468"/>
        <v>-38.1255048375409</v>
      </c>
      <c r="BH487" s="31">
        <f t="shared" si="469"/>
        <v>-88.4875395742589</v>
      </c>
      <c r="BI487" s="30" t="str">
        <f t="shared" si="423"/>
        <v>0,485271486078151+0,216149297479706i</v>
      </c>
      <c r="BJ487" s="68">
        <f t="shared" si="470"/>
        <v>-5.49429241729357</v>
      </c>
      <c r="BK487" s="31">
        <f t="shared" si="424"/>
        <v>24.0091151569637</v>
      </c>
      <c r="BL487" s="32">
        <f t="shared" si="471"/>
        <v>-38.1255048375409</v>
      </c>
      <c r="BM487" s="31">
        <f t="shared" si="472"/>
        <v>-88.4875395742589</v>
      </c>
      <c r="BO487">
        <f t="shared" si="473"/>
        <v>0</v>
      </c>
      <c r="BP487">
        <f t="shared" si="474"/>
        <v>0</v>
      </c>
    </row>
    <row r="488" spans="14:68">
      <c r="N488" s="7">
        <v>70</v>
      </c>
      <c r="O488" s="18">
        <f t="shared" si="475"/>
        <v>501187.233627273</v>
      </c>
      <c r="P488" s="86" t="str">
        <f t="shared" si="425"/>
        <v>96,0576923076923</v>
      </c>
      <c r="Q488" s="4" t="str">
        <f t="shared" si="426"/>
        <v>1+4203,50030082243i</v>
      </c>
      <c r="R488" s="4">
        <f t="shared" si="437"/>
        <v>4203.50041977091</v>
      </c>
      <c r="S488" s="4">
        <f t="shared" si="438"/>
        <v>1.57055842982581</v>
      </c>
      <c r="T488" s="4" t="str">
        <f t="shared" si="427"/>
        <v>1+49,3771394755745i</v>
      </c>
      <c r="U488" s="4">
        <f t="shared" si="439"/>
        <v>49.387264580966</v>
      </c>
      <c r="V488" s="4">
        <f t="shared" si="440"/>
        <v>1.55054680797144</v>
      </c>
      <c r="W488" t="str">
        <f t="shared" si="428"/>
        <v>1-23,4429446206313i</v>
      </c>
      <c r="X488" s="4">
        <f t="shared" si="441"/>
        <v>23.4642633058442</v>
      </c>
      <c r="Y488" s="4">
        <f t="shared" si="442"/>
        <v>-1.52816541397574</v>
      </c>
      <c r="Z488" t="str">
        <f t="shared" si="429"/>
        <v>-1,0505195359262+40,1856669315566i</v>
      </c>
      <c r="AA488" s="4">
        <f t="shared" si="443"/>
        <v>40.1993957420925</v>
      </c>
      <c r="AB488" s="4">
        <f t="shared" si="444"/>
        <v>1.59693202170413</v>
      </c>
      <c r="AC488" s="67" t="str">
        <f t="shared" si="445"/>
        <v>-0,658750169079878+0,00231644124063933i</v>
      </c>
      <c r="AD488" s="68">
        <f t="shared" si="446"/>
        <v>-3.62553150515718</v>
      </c>
      <c r="AE488" s="31">
        <f t="shared" si="447"/>
        <v>179.79852489492</v>
      </c>
      <c r="AF488" s="32" t="str">
        <f t="shared" si="448"/>
        <v>236,914774604583</v>
      </c>
      <c r="AG488" s="32" t="str">
        <f t="shared" si="430"/>
        <v>1+1038,04213670242i</v>
      </c>
      <c r="AH488" s="32">
        <f t="shared" si="449"/>
        <v>1038.04261837832</v>
      </c>
      <c r="AI488" s="32">
        <f t="shared" si="450"/>
        <v>1.56983297506254</v>
      </c>
      <c r="AJ488" s="32" t="str">
        <f t="shared" si="431"/>
        <v>1+49,3771394755745i</v>
      </c>
      <c r="AK488" s="32">
        <f t="shared" si="451"/>
        <v>49.387264580966</v>
      </c>
      <c r="AL488" s="32">
        <f t="shared" si="452"/>
        <v>1.55054680797144</v>
      </c>
      <c r="AM488" s="32" t="str">
        <f t="shared" si="432"/>
        <v>1-2,34716497452961i</v>
      </c>
      <c r="AN488" s="32">
        <f t="shared" si="453"/>
        <v>2.55131013748987</v>
      </c>
      <c r="AO488" s="32">
        <f t="shared" si="454"/>
        <v>-1.16804013134205</v>
      </c>
      <c r="AP488" s="30" t="str">
        <f t="shared" si="455"/>
        <v>10,7594523975472-26,669147923551i</v>
      </c>
      <c r="AQ488" s="32">
        <f t="shared" si="456"/>
        <v>29.1751037596737</v>
      </c>
      <c r="AR488" s="31">
        <f t="shared" si="457"/>
        <v>-68.0287858051103</v>
      </c>
      <c r="AS488" t="str">
        <f t="shared" si="433"/>
        <v>-0,000272527472527473</v>
      </c>
      <c r="AT488" t="str">
        <f t="shared" si="434"/>
        <v>0,707592043377653i</v>
      </c>
      <c r="AU488">
        <f t="shared" si="458"/>
        <v>0.707592043377653</v>
      </c>
      <c r="AV488">
        <f t="shared" si="459"/>
        <v>1.5707963267949</v>
      </c>
      <c r="AW488" t="str">
        <f t="shared" si="435"/>
        <v>1+36,2274147685463i</v>
      </c>
      <c r="AX488">
        <f t="shared" si="460"/>
        <v>36.2412138429756</v>
      </c>
      <c r="AY488">
        <f t="shared" si="461"/>
        <v>1.54319992943168</v>
      </c>
      <c r="AZ488" t="str">
        <f t="shared" si="436"/>
        <v>1+1731,97874436007i</v>
      </c>
      <c r="BA488">
        <f t="shared" si="462"/>
        <v>1731.97903304719</v>
      </c>
      <c r="BB488">
        <f t="shared" si="463"/>
        <v>1.5702189525678</v>
      </c>
      <c r="BC488" s="30" t="str">
        <f t="shared" si="464"/>
        <v>-0,000497260592893433+0,0183996134814031i</v>
      </c>
      <c r="BD488" s="32">
        <f t="shared" si="465"/>
        <v>-34.7006551459308</v>
      </c>
      <c r="BE488" s="31">
        <f t="shared" si="466"/>
        <v>91.5480759922659</v>
      </c>
      <c r="BF488" s="30" t="str">
        <f t="shared" si="467"/>
        <v>0,000284948876165164-0,0121219003668234i</v>
      </c>
      <c r="BG488" s="68">
        <f t="shared" si="468"/>
        <v>-38.326186651088</v>
      </c>
      <c r="BH488" s="31">
        <f t="shared" si="469"/>
        <v>-88.6533991128142</v>
      </c>
      <c r="BI488" s="30" t="str">
        <f t="shared" si="423"/>
        <v>0,48535176199329+0,211231281694852i</v>
      </c>
      <c r="BJ488" s="68">
        <f t="shared" si="470"/>
        <v>-5.52555138625703</v>
      </c>
      <c r="BK488" s="31">
        <f t="shared" si="424"/>
        <v>23.5192901871556</v>
      </c>
      <c r="BL488" s="32">
        <f t="shared" si="471"/>
        <v>-38.326186651088</v>
      </c>
      <c r="BM488" s="31">
        <f t="shared" si="472"/>
        <v>-88.6533991128142</v>
      </c>
      <c r="BO488">
        <f t="shared" si="473"/>
        <v>0</v>
      </c>
      <c r="BP488">
        <f t="shared" si="474"/>
        <v>0</v>
      </c>
    </row>
    <row r="489" spans="14:68">
      <c r="N489" s="7">
        <v>71</v>
      </c>
      <c r="O489" s="18">
        <f t="shared" si="475"/>
        <v>512861.383991365</v>
      </c>
      <c r="P489" s="86" t="str">
        <f t="shared" si="425"/>
        <v>96,0576923076923</v>
      </c>
      <c r="Q489" s="4" t="str">
        <f t="shared" si="426"/>
        <v>1+4301,41240088163i</v>
      </c>
      <c r="R489" s="4">
        <f t="shared" si="437"/>
        <v>4301.41251712252</v>
      </c>
      <c r="S489" s="4">
        <f t="shared" si="438"/>
        <v>1.57056384502175</v>
      </c>
      <c r="T489" s="4" t="str">
        <f t="shared" si="427"/>
        <v>1+50,5272808042247i</v>
      </c>
      <c r="U489" s="4">
        <f t="shared" si="439"/>
        <v>50.5371754797295</v>
      </c>
      <c r="V489" s="4">
        <f t="shared" si="440"/>
        <v>1.55100762157019</v>
      </c>
      <c r="W489" t="str">
        <f t="shared" si="428"/>
        <v>1-23,9890009487178i</v>
      </c>
      <c r="X489" s="4">
        <f t="shared" si="441"/>
        <v>24.0098347873863</v>
      </c>
      <c r="Y489" s="4">
        <f t="shared" si="442"/>
        <v>-1.52913467649068</v>
      </c>
      <c r="Z489" t="str">
        <f t="shared" si="429"/>
        <v>-1,14715754440439+41,1217113611903i</v>
      </c>
      <c r="AA489" s="4">
        <f t="shared" si="443"/>
        <v>41.1377091693829</v>
      </c>
      <c r="AB489" s="4">
        <f t="shared" si="444"/>
        <v>1.59868573275717</v>
      </c>
      <c r="AC489" s="67" t="str">
        <f t="shared" si="445"/>
        <v>-0,658679009102884+0,0038098281138821i</v>
      </c>
      <c r="AD489" s="68">
        <f t="shared" si="446"/>
        <v>-3.62637823871393</v>
      </c>
      <c r="AE489" s="31">
        <f t="shared" si="447"/>
        <v>179.668602408227</v>
      </c>
      <c r="AF489" s="32" t="str">
        <f t="shared" si="448"/>
        <v>236,914774604583</v>
      </c>
      <c r="AG489" s="32" t="str">
        <f t="shared" si="430"/>
        <v>1+1062,22124417972i</v>
      </c>
      <c r="AH489" s="32">
        <f t="shared" si="449"/>
        <v>1062.22171489135</v>
      </c>
      <c r="AI489" s="32">
        <f t="shared" si="450"/>
        <v>1.56985490361206</v>
      </c>
      <c r="AJ489" s="32" t="str">
        <f t="shared" si="431"/>
        <v>1+50,5272808042247i</v>
      </c>
      <c r="AK489" s="32">
        <f t="shared" si="451"/>
        <v>50.5371754797295</v>
      </c>
      <c r="AL489" s="32">
        <f t="shared" si="452"/>
        <v>1.55100762157019</v>
      </c>
      <c r="AM489" s="32" t="str">
        <f t="shared" si="432"/>
        <v>1-2,40183747016299i</v>
      </c>
      <c r="AN489" s="32">
        <f t="shared" si="453"/>
        <v>2.60169622229017</v>
      </c>
      <c r="AO489" s="32">
        <f t="shared" si="454"/>
        <v>-1.17627684499663</v>
      </c>
      <c r="AP489" s="30" t="str">
        <f t="shared" si="455"/>
        <v>10,7594429512737-27,2803181477339i</v>
      </c>
      <c r="AQ489" s="32">
        <f t="shared" si="456"/>
        <v>29.3448904354717</v>
      </c>
      <c r="AR489" s="31">
        <f t="shared" si="457"/>
        <v>-68.4755684735626</v>
      </c>
      <c r="AS489" t="str">
        <f t="shared" si="433"/>
        <v>-0,000272527472527473</v>
      </c>
      <c r="AT489" t="str">
        <f t="shared" si="434"/>
        <v>0,724073979381971i</v>
      </c>
      <c r="AU489">
        <f t="shared" si="458"/>
        <v>0.724073979381971</v>
      </c>
      <c r="AV489">
        <f t="shared" si="459"/>
        <v>1.5707963267949</v>
      </c>
      <c r="AW489" t="str">
        <f t="shared" si="435"/>
        <v>1+37,0712596611017i</v>
      </c>
      <c r="AX489">
        <f t="shared" si="460"/>
        <v>37.0847447457958</v>
      </c>
      <c r="AY489">
        <f t="shared" si="461"/>
        <v>1.54382779204781</v>
      </c>
      <c r="AZ489" t="str">
        <f t="shared" si="436"/>
        <v>1+1772,32171188288i</v>
      </c>
      <c r="BA489">
        <f t="shared" si="462"/>
        <v>1772.32199399868</v>
      </c>
      <c r="BB489">
        <f t="shared" si="463"/>
        <v>1.57023209520693</v>
      </c>
      <c r="BC489" s="30" t="str">
        <f t="shared" si="464"/>
        <v>-0,000474896452904471+0,0179813904195751i</v>
      </c>
      <c r="BD489" s="32">
        <f t="shared" si="465"/>
        <v>-34.9005063879927</v>
      </c>
      <c r="BE489" s="31">
        <f t="shared" si="466"/>
        <v>91.5128551320019</v>
      </c>
      <c r="BF489" s="30" t="str">
        <f t="shared" si="467"/>
        <v>0,000244298318278404-0,0118457736977153i</v>
      </c>
      <c r="BG489" s="68">
        <f t="shared" si="468"/>
        <v>-38.5268846267066</v>
      </c>
      <c r="BH489" s="31">
        <f t="shared" si="469"/>
        <v>-88.8185424597713</v>
      </c>
      <c r="BI489" s="30" t="str">
        <f t="shared" si="423"/>
        <v>0,485428430091835+0,206425070726462i</v>
      </c>
      <c r="BJ489" s="68">
        <f t="shared" si="470"/>
        <v>-5.55561595252098</v>
      </c>
      <c r="BK489" s="31">
        <f t="shared" si="424"/>
        <v>23.0372866584393</v>
      </c>
      <c r="BL489" s="32">
        <f t="shared" si="471"/>
        <v>-38.5268846267066</v>
      </c>
      <c r="BM489" s="31">
        <f t="shared" si="472"/>
        <v>-88.8185424597713</v>
      </c>
      <c r="BO489">
        <f t="shared" si="473"/>
        <v>0</v>
      </c>
      <c r="BP489">
        <f t="shared" si="474"/>
        <v>0</v>
      </c>
    </row>
    <row r="490" spans="14:68">
      <c r="N490" s="7">
        <v>72</v>
      </c>
      <c r="O490" s="18">
        <f t="shared" si="475"/>
        <v>524807.460249773</v>
      </c>
      <c r="P490" s="86" t="str">
        <f t="shared" si="425"/>
        <v>96,0576923076923</v>
      </c>
      <c r="Q490" s="4" t="str">
        <f t="shared" si="426"/>
        <v>1+4401,60516673171i</v>
      </c>
      <c r="R490" s="4">
        <f t="shared" si="437"/>
        <v>4401.60528032663</v>
      </c>
      <c r="S490" s="4">
        <f t="shared" si="438"/>
        <v>1.5705691369528</v>
      </c>
      <c r="T490" s="4" t="str">
        <f t="shared" si="427"/>
        <v>1+51,7042123659651i</v>
      </c>
      <c r="U490" s="4">
        <f t="shared" si="439"/>
        <v>51.7138818537616</v>
      </c>
      <c r="V490" s="4">
        <f t="shared" si="440"/>
        <v>1.55145795389291</v>
      </c>
      <c r="W490" t="str">
        <f t="shared" si="428"/>
        <v>1-24,5477765626394i</v>
      </c>
      <c r="X490" s="4">
        <f t="shared" si="441"/>
        <v>24.5681365628179</v>
      </c>
      <c r="Y490" s="4">
        <f t="shared" si="442"/>
        <v>-1.53008195158753</v>
      </c>
      <c r="Z490" t="str">
        <f t="shared" si="429"/>
        <v>-1,24834996190872+42,079559066498i</v>
      </c>
      <c r="AA490" s="4">
        <f t="shared" si="443"/>
        <v>42.0980720325562</v>
      </c>
      <c r="AB490" s="4">
        <f t="shared" si="444"/>
        <v>1.60045405040243</v>
      </c>
      <c r="AC490" s="67" t="str">
        <f t="shared" si="445"/>
        <v>-0,6586036248955+0,0053048583353343i</v>
      </c>
      <c r="AD490" s="68">
        <f t="shared" si="446"/>
        <v>-3.62723591232684</v>
      </c>
      <c r="AE490" s="31">
        <f t="shared" si="447"/>
        <v>179.538509341383</v>
      </c>
      <c r="AF490" s="32" t="str">
        <f t="shared" si="448"/>
        <v>236,914774604583</v>
      </c>
      <c r="AG490" s="32" t="str">
        <f t="shared" si="430"/>
        <v>1+1086,96355542086i</v>
      </c>
      <c r="AH490" s="32">
        <f t="shared" si="449"/>
        <v>1086.96401541779</v>
      </c>
      <c r="AI490" s="32">
        <f t="shared" si="450"/>
        <v>1.56987633300772</v>
      </c>
      <c r="AJ490" s="32" t="str">
        <f t="shared" si="431"/>
        <v>1+51,7042123659651i</v>
      </c>
      <c r="AK490" s="32">
        <f t="shared" si="451"/>
        <v>51.7138818537616</v>
      </c>
      <c r="AL490" s="32">
        <f t="shared" si="452"/>
        <v>1.55145795389291</v>
      </c>
      <c r="AM490" s="32" t="str">
        <f t="shared" si="432"/>
        <v>1-2,45778345181513i</v>
      </c>
      <c r="AN490" s="32">
        <f t="shared" si="453"/>
        <v>2.65343164525041</v>
      </c>
      <c r="AO490" s="32">
        <f t="shared" si="454"/>
        <v>-1.18438102655242</v>
      </c>
      <c r="AP490" s="30" t="str">
        <f t="shared" si="455"/>
        <v>10,7594339301516-27,9059527568954i</v>
      </c>
      <c r="AQ490" s="32">
        <f t="shared" si="456"/>
        <v>29.5158404343916</v>
      </c>
      <c r="AR490" s="31">
        <f t="shared" si="457"/>
        <v>-68.9153295455759</v>
      </c>
      <c r="AS490" t="str">
        <f t="shared" si="433"/>
        <v>-0,000272527472527473</v>
      </c>
      <c r="AT490" t="str">
        <f t="shared" si="434"/>
        <v>0,74093982899441i</v>
      </c>
      <c r="AU490">
        <f t="shared" si="458"/>
        <v>0.74093982899441</v>
      </c>
      <c r="AV490">
        <f t="shared" si="459"/>
        <v>1.5707963267949</v>
      </c>
      <c r="AW490" t="str">
        <f t="shared" si="435"/>
        <v>1+37,9347602262256i</v>
      </c>
      <c r="AX490">
        <f t="shared" si="460"/>
        <v>37.9479384607547</v>
      </c>
      <c r="AY490">
        <f t="shared" si="461"/>
        <v>1.54444138331735</v>
      </c>
      <c r="AZ490" t="str">
        <f t="shared" si="436"/>
        <v>1+1813,60438783678i</v>
      </c>
      <c r="BA490">
        <f t="shared" si="462"/>
        <v>1813.60466353084</v>
      </c>
      <c r="BB490">
        <f t="shared" si="463"/>
        <v>1.57024493868326</v>
      </c>
      <c r="BC490" s="30" t="str">
        <f t="shared" si="464"/>
        <v>-0,000453537434136371+0,0175726470486462i</v>
      </c>
      <c r="BD490" s="32">
        <f t="shared" si="465"/>
        <v>-35.1003643205038</v>
      </c>
      <c r="BE490" s="31">
        <f t="shared" si="466"/>
        <v>91.4784348188989</v>
      </c>
      <c r="BF490" s="30" t="str">
        <f t="shared" si="467"/>
        <v>0,000205480994978119-0,0115758149970855i</v>
      </c>
      <c r="BG490" s="68">
        <f t="shared" si="468"/>
        <v>-38.7276002328306</v>
      </c>
      <c r="BH490" s="31">
        <f t="shared" si="469"/>
        <v>-88.9830558397181</v>
      </c>
      <c r="BI490" s="30" t="str">
        <f t="shared" si="423"/>
        <v>0,485501652295677+0,201728129108275i</v>
      </c>
      <c r="BJ490" s="68">
        <f t="shared" si="470"/>
        <v>-5.58452388611217</v>
      </c>
      <c r="BK490" s="31">
        <f t="shared" si="424"/>
        <v>22.563105273323</v>
      </c>
      <c r="BL490" s="32">
        <f t="shared" si="471"/>
        <v>-38.7276002328306</v>
      </c>
      <c r="BM490" s="31">
        <f t="shared" si="472"/>
        <v>-88.9830558397181</v>
      </c>
      <c r="BO490">
        <f t="shared" si="473"/>
        <v>0</v>
      </c>
      <c r="BP490">
        <f t="shared" si="474"/>
        <v>0</v>
      </c>
    </row>
    <row r="491" spans="14:68">
      <c r="N491" s="7">
        <v>73</v>
      </c>
      <c r="O491" s="18">
        <f t="shared" si="475"/>
        <v>537031.796370254</v>
      </c>
      <c r="P491" s="86" t="str">
        <f t="shared" si="425"/>
        <v>96,0576923076923</v>
      </c>
      <c r="Q491" s="4" t="str">
        <f t="shared" si="426"/>
        <v>1+4504,13172190333i</v>
      </c>
      <c r="R491" s="4">
        <f t="shared" si="437"/>
        <v>4504.13183291252</v>
      </c>
      <c r="S491" s="4">
        <f t="shared" si="438"/>
        <v>1.57057430842481</v>
      </c>
      <c r="T491" s="4" t="str">
        <f t="shared" si="427"/>
        <v>1+52,9085581854881i</v>
      </c>
      <c r="U491" s="4">
        <f t="shared" si="439"/>
        <v>52.9180076086315</v>
      </c>
      <c r="V491" s="4">
        <f t="shared" si="440"/>
        <v>1.55189804298072</v>
      </c>
      <c r="W491" t="str">
        <f t="shared" si="428"/>
        <v>1-25,1195677326226i</v>
      </c>
      <c r="X491" s="4">
        <f t="shared" si="441"/>
        <v>25.1394646536837</v>
      </c>
      <c r="Y491" s="4">
        <f t="shared" si="442"/>
        <v>-1.53100773472006</v>
      </c>
      <c r="Z491" t="str">
        <f t="shared" si="429"/>
        <v>-1,35431143112378+43,0597179110115i</v>
      </c>
      <c r="AA491" s="4">
        <f t="shared" si="443"/>
        <v>43.081010503798</v>
      </c>
      <c r="AB491" s="4">
        <f t="shared" si="444"/>
        <v>1.60223789652947</v>
      </c>
      <c r="AC491" s="67" t="str">
        <f t="shared" si="445"/>
        <v>-0,658523859490025+0,00680229495575007i</v>
      </c>
      <c r="AD491" s="68">
        <f t="shared" si="446"/>
        <v>-3.62810633192692</v>
      </c>
      <c r="AE491" s="31">
        <f t="shared" si="447"/>
        <v>179.408177964586</v>
      </c>
      <c r="AF491" s="32" t="str">
        <f t="shared" si="448"/>
        <v>236,914774604583</v>
      </c>
      <c r="AG491" s="32" t="str">
        <f t="shared" si="430"/>
        <v>1+1112,28218912674i</v>
      </c>
      <c r="AH491" s="32">
        <f t="shared" si="449"/>
        <v>1112.28263865286</v>
      </c>
      <c r="AI491" s="32">
        <f t="shared" si="450"/>
        <v>1.56989727461161</v>
      </c>
      <c r="AJ491" s="32" t="str">
        <f t="shared" si="431"/>
        <v>1+52,9085581854881i</v>
      </c>
      <c r="AK491" s="32">
        <f t="shared" si="451"/>
        <v>52.9180076086315</v>
      </c>
      <c r="AL491" s="32">
        <f t="shared" si="452"/>
        <v>1.55189804298072</v>
      </c>
      <c r="AM491" s="32" t="str">
        <f t="shared" si="432"/>
        <v>1-2,51503258278602i</v>
      </c>
      <c r="AN491" s="32">
        <f t="shared" si="453"/>
        <v>2.70654556445579</v>
      </c>
      <c r="AO491" s="32">
        <f t="shared" si="454"/>
        <v>-1.19235271379071</v>
      </c>
      <c r="AP491" s="30" t="str">
        <f t="shared" si="455"/>
        <v>10,7594253150462-28,5463834708404i</v>
      </c>
      <c r="AQ491" s="32">
        <f t="shared" si="456"/>
        <v>29.6879162798458</v>
      </c>
      <c r="AR491" s="31">
        <f t="shared" si="457"/>
        <v>-69.348058198106</v>
      </c>
      <c r="AS491" t="str">
        <f t="shared" si="433"/>
        <v>-0,000272527472527473</v>
      </c>
      <c r="AT491" t="str">
        <f t="shared" si="434"/>
        <v>0,758198534711681i</v>
      </c>
      <c r="AU491">
        <f t="shared" si="458"/>
        <v>0.758198534711681</v>
      </c>
      <c r="AV491">
        <f t="shared" si="459"/>
        <v>1.5707963267949</v>
      </c>
      <c r="AW491" t="str">
        <f t="shared" si="435"/>
        <v>1+38,8183743033474i</v>
      </c>
      <c r="AX491">
        <f t="shared" si="460"/>
        <v>38.8312526652796</v>
      </c>
      <c r="AY491">
        <f t="shared" si="461"/>
        <v>1.54504102672537</v>
      </c>
      <c r="AZ491" t="str">
        <f t="shared" si="436"/>
        <v>1+1855,84866084301i</v>
      </c>
      <c r="BA491">
        <f t="shared" si="462"/>
        <v>1855.84893026151</v>
      </c>
      <c r="BB491">
        <f t="shared" si="463"/>
        <v>1.57025748980656</v>
      </c>
      <c r="BC491" s="30" t="str">
        <f t="shared" si="464"/>
        <v>-0,000433138424456478+0,0171731702654708i</v>
      </c>
      <c r="BD491" s="32">
        <f t="shared" si="465"/>
        <v>-35.300228642763</v>
      </c>
      <c r="BE491" s="31">
        <f t="shared" si="466"/>
        <v>91.4447969087998</v>
      </c>
      <c r="BF491" s="30" t="str">
        <f t="shared" si="467"/>
        <v>0,000168415017495459-0,011311888698217i</v>
      </c>
      <c r="BG491" s="68">
        <f t="shared" si="468"/>
        <v>-38.92833497469</v>
      </c>
      <c r="BH491" s="31">
        <f t="shared" si="469"/>
        <v>-89.1470251266145</v>
      </c>
      <c r="BI491" s="30" t="str">
        <f t="shared" si="423"/>
        <v>0,485571583279147+0,197137978454395i</v>
      </c>
      <c r="BJ491" s="68">
        <f t="shared" si="470"/>
        <v>-5.61231236291724</v>
      </c>
      <c r="BK491" s="31">
        <f t="shared" si="424"/>
        <v>22.0967387106938</v>
      </c>
      <c r="BL491" s="32">
        <f t="shared" si="471"/>
        <v>-38.92833497469</v>
      </c>
      <c r="BM491" s="31">
        <f t="shared" si="472"/>
        <v>-89.1470251266145</v>
      </c>
      <c r="BO491">
        <f t="shared" si="473"/>
        <v>0</v>
      </c>
      <c r="BP491">
        <f t="shared" si="474"/>
        <v>0</v>
      </c>
    </row>
    <row r="492" spans="14:68">
      <c r="N492" s="7">
        <v>74</v>
      </c>
      <c r="O492" s="18">
        <f t="shared" si="475"/>
        <v>549540.873857626</v>
      </c>
      <c r="P492" s="86" t="str">
        <f t="shared" si="425"/>
        <v>96,0576923076923</v>
      </c>
      <c r="Q492" s="4" t="str">
        <f t="shared" si="426"/>
        <v>1+4609,04642733313i</v>
      </c>
      <c r="R492" s="4">
        <f t="shared" si="437"/>
        <v>4609.04653581544</v>
      </c>
      <c r="S492" s="4">
        <f t="shared" si="438"/>
        <v>1.57057936217975</v>
      </c>
      <c r="T492" s="4" t="str">
        <f t="shared" si="427"/>
        <v>1+54,1409568228886i</v>
      </c>
      <c r="U492" s="4">
        <f t="shared" si="439"/>
        <v>54.1501911880086</v>
      </c>
      <c r="V492" s="4">
        <f t="shared" si="440"/>
        <v>1.55232812149239</v>
      </c>
      <c r="W492" t="str">
        <f t="shared" si="428"/>
        <v>1-25,7046776299145i</v>
      </c>
      <c r="X492" s="4">
        <f t="shared" si="441"/>
        <v>25.724121988084</v>
      </c>
      <c r="Y492" s="4">
        <f t="shared" si="442"/>
        <v>-1.5319125103994</v>
      </c>
      <c r="Z492" t="str">
        <f t="shared" si="429"/>
        <v>-1,46526671053228+44,0627075879242i</v>
      </c>
      <c r="AA492" s="4">
        <f t="shared" si="443"/>
        <v>44.0870639361696</v>
      </c>
      <c r="AB492" s="4">
        <f t="shared" si="444"/>
        <v>1.60403820033279</v>
      </c>
      <c r="AC492" s="67" t="str">
        <f t="shared" si="445"/>
        <v>-0,65843954691907+0,00830290039285209i</v>
      </c>
      <c r="AD492" s="68">
        <f t="shared" si="446"/>
        <v>-3.62899132983057</v>
      </c>
      <c r="AE492" s="31">
        <f t="shared" si="447"/>
        <v>179.277540451732</v>
      </c>
      <c r="AF492" s="32" t="str">
        <f t="shared" si="448"/>
        <v>236,914774604583</v>
      </c>
      <c r="AG492" s="32" t="str">
        <f t="shared" si="430"/>
        <v>1+1138,19056957209i</v>
      </c>
      <c r="AH492" s="32">
        <f t="shared" si="449"/>
        <v>1138.19100886575</v>
      </c>
      <c r="AI492" s="32">
        <f t="shared" si="450"/>
        <v>1.56991773952715</v>
      </c>
      <c r="AJ492" s="32" t="str">
        <f t="shared" si="431"/>
        <v>1+54,1409568228886i</v>
      </c>
      <c r="AK492" s="32">
        <f t="shared" si="451"/>
        <v>54.1501911880086</v>
      </c>
      <c r="AL492" s="32">
        <f t="shared" si="452"/>
        <v>1.55232812149239</v>
      </c>
      <c r="AM492" s="32" t="str">
        <f t="shared" si="432"/>
        <v>1-2,57361521732271i</v>
      </c>
      <c r="AN492" s="32">
        <f t="shared" si="453"/>
        <v>2.76106778019574</v>
      </c>
      <c r="AO492" s="32">
        <f t="shared" si="454"/>
        <v>-1.20019207970043</v>
      </c>
      <c r="AP492" s="30" t="str">
        <f t="shared" si="455"/>
        <v>10,7594170876839-29,2019498544605i</v>
      </c>
      <c r="AQ492" s="32">
        <f t="shared" si="456"/>
        <v>29.8610811417109</v>
      </c>
      <c r="AR492" s="31">
        <f t="shared" si="457"/>
        <v>-69.7737516485024</v>
      </c>
      <c r="AS492" t="str">
        <f t="shared" si="433"/>
        <v>-0,000272527472527473</v>
      </c>
      <c r="AT492" t="str">
        <f t="shared" si="434"/>
        <v>0,775859247328i</v>
      </c>
      <c r="AU492">
        <f t="shared" si="458"/>
        <v>0.775859247328</v>
      </c>
      <c r="AV492">
        <f t="shared" si="459"/>
        <v>1.5707963267949</v>
      </c>
      <c r="AW492" t="str">
        <f t="shared" si="435"/>
        <v>1+39,7225703963467i</v>
      </c>
      <c r="AX492">
        <f t="shared" si="460"/>
        <v>39.7351557049009</v>
      </c>
      <c r="AY492">
        <f t="shared" si="461"/>
        <v>1.54562703848481</v>
      </c>
      <c r="AZ492" t="str">
        <f t="shared" si="436"/>
        <v>1+1899,07692937428i</v>
      </c>
      <c r="BA492">
        <f t="shared" si="462"/>
        <v>1899.07719266007</v>
      </c>
      <c r="BB492">
        <f t="shared" si="463"/>
        <v>1.57026975523157</v>
      </c>
      <c r="BC492" s="30" t="str">
        <f t="shared" si="464"/>
        <v>-0,000413656331062333+0,0167827516392261i</v>
      </c>
      <c r="BD492" s="32">
        <f t="shared" si="465"/>
        <v>-35.500099067566</v>
      </c>
      <c r="BE492" s="31">
        <f t="shared" si="466"/>
        <v>91.4119236653258</v>
      </c>
      <c r="BF492" s="30" t="str">
        <f t="shared" si="467"/>
        <v>0,000133022172026418-0,011053861932701i</v>
      </c>
      <c r="BG492" s="68">
        <f t="shared" si="468"/>
        <v>-39.1290903973965</v>
      </c>
      <c r="BH492" s="31">
        <f t="shared" si="469"/>
        <v>-89.3105358829423</v>
      </c>
      <c r="BI492" s="30" t="str">
        <f t="shared" si="423"/>
        <v>0,485638370791685+0,192652196202107i</v>
      </c>
      <c r="BJ492" s="68">
        <f t="shared" si="470"/>
        <v>-5.63901792585504</v>
      </c>
      <c r="BK492" s="31">
        <f t="shared" si="424"/>
        <v>21.6381720168234</v>
      </c>
      <c r="BL492" s="32">
        <f t="shared" si="471"/>
        <v>-39.1290903973965</v>
      </c>
      <c r="BM492" s="31">
        <f t="shared" si="472"/>
        <v>-89.3105358829423</v>
      </c>
      <c r="BO492">
        <f t="shared" si="473"/>
        <v>0</v>
      </c>
      <c r="BP492">
        <f t="shared" si="474"/>
        <v>0</v>
      </c>
    </row>
    <row r="493" spans="14:68">
      <c r="N493" s="7">
        <v>75</v>
      </c>
      <c r="O493" s="18">
        <f t="shared" si="475"/>
        <v>562341.32519035</v>
      </c>
      <c r="P493" s="86" t="str">
        <f t="shared" si="425"/>
        <v>96,0576923076923</v>
      </c>
      <c r="Q493" s="4" t="str">
        <f t="shared" si="426"/>
        <v>1+4716,40491018662i</v>
      </c>
      <c r="R493" s="4">
        <f t="shared" si="437"/>
        <v>4716.40501619957</v>
      </c>
      <c r="S493" s="4">
        <f t="shared" si="438"/>
        <v>1.57058430089719</v>
      </c>
      <c r="T493" s="4" t="str">
        <f t="shared" si="427"/>
        <v>1+55,4020617122365i</v>
      </c>
      <c r="U493" s="4">
        <f t="shared" si="439"/>
        <v>55.4110859121752</v>
      </c>
      <c r="V493" s="4">
        <f t="shared" si="440"/>
        <v>1.55274841682449</v>
      </c>
      <c r="W493" t="str">
        <f t="shared" si="428"/>
        <v>1-26,3034164875273i</v>
      </c>
      <c r="X493" s="4">
        <f t="shared" si="441"/>
        <v>26.322418561301</v>
      </c>
      <c r="Y493" s="4">
        <f t="shared" si="442"/>
        <v>-1.53279675242088</v>
      </c>
      <c r="Z493" t="str">
        <f t="shared" si="429"/>
        <v>-1,58145115115788+45,0890598956387i</v>
      </c>
      <c r="AA493" s="4">
        <f t="shared" si="443"/>
        <v>45.1167852358298</v>
      </c>
      <c r="AB493" s="4">
        <f t="shared" si="444"/>
        <v>1.60585589872625</v>
      </c>
      <c r="AC493" s="67" t="str">
        <f t="shared" si="445"/>
        <v>-0,658350511890507+0,00980743668877756i</v>
      </c>
      <c r="AD493" s="68">
        <f t="shared" si="446"/>
        <v>-3.62989276850851</v>
      </c>
      <c r="AE493" s="31">
        <f t="shared" si="447"/>
        <v>179.146528850472</v>
      </c>
      <c r="AF493" s="32" t="str">
        <f t="shared" si="448"/>
        <v>236,914774604583</v>
      </c>
      <c r="AG493" s="32" t="str">
        <f t="shared" si="430"/>
        <v>1+1164,70243372315i</v>
      </c>
      <c r="AH493" s="32">
        <f t="shared" si="449"/>
        <v>1164.70286301727</v>
      </c>
      <c r="AI493" s="32">
        <f t="shared" si="450"/>
        <v>1.56993773860505</v>
      </c>
      <c r="AJ493" s="32" t="str">
        <f t="shared" si="431"/>
        <v>1+55,4020617122365i</v>
      </c>
      <c r="AK493" s="32">
        <f t="shared" si="451"/>
        <v>55.4110859121752</v>
      </c>
      <c r="AL493" s="32">
        <f t="shared" si="452"/>
        <v>1.55274841682449</v>
      </c>
      <c r="AM493" s="32" t="str">
        <f t="shared" si="432"/>
        <v>1-2,63356241671343i</v>
      </c>
      <c r="AN493" s="32">
        <f t="shared" si="453"/>
        <v>2.81702875433061</v>
      </c>
      <c r="AO493" s="32">
        <f t="shared" si="454"/>
        <v>-1.20789942560081</v>
      </c>
      <c r="AP493" s="30" t="str">
        <f t="shared" si="455"/>
        <v>10,7594092306133-29,8729994977759i</v>
      </c>
      <c r="AQ493" s="32">
        <f t="shared" si="456"/>
        <v>30.0352988701319</v>
      </c>
      <c r="AR493" s="31">
        <f t="shared" si="457"/>
        <v>-70.1924147539216</v>
      </c>
      <c r="AS493" t="str">
        <f t="shared" si="433"/>
        <v>-0,000272527472527473</v>
      </c>
      <c r="AT493" t="str">
        <f t="shared" si="434"/>
        <v>0,793931330786962i</v>
      </c>
      <c r="AU493">
        <f t="shared" si="458"/>
        <v>0.793931330786962</v>
      </c>
      <c r="AV493">
        <f t="shared" si="459"/>
        <v>1.5707963267949</v>
      </c>
      <c r="AW493" t="str">
        <f t="shared" si="435"/>
        <v>1+40,6478279219604i</v>
      </c>
      <c r="AX493">
        <f t="shared" si="460"/>
        <v>40.6601268415791</v>
      </c>
      <c r="AY493">
        <f t="shared" si="461"/>
        <v>1.54619972769602</v>
      </c>
      <c r="AZ493" t="str">
        <f t="shared" si="436"/>
        <v>1+1943,31211363074i</v>
      </c>
      <c r="BA493">
        <f t="shared" si="462"/>
        <v>1943.31237092341</v>
      </c>
      <c r="BB493">
        <f t="shared" si="463"/>
        <v>1.57028174146158</v>
      </c>
      <c r="BC493" s="30" t="str">
        <f t="shared" si="464"/>
        <v>-0,000395049990566997+0,0164011873169212i</v>
      </c>
      <c r="BD493" s="32">
        <f t="shared" si="465"/>
        <v>-35.6999753206014</v>
      </c>
      <c r="BE493" s="31">
        <f t="shared" si="466"/>
        <v>91.3797977509427</v>
      </c>
      <c r="BF493" s="30" t="str">
        <f t="shared" si="467"/>
        <v>0,0000992277572806363-0,0108016044934786i</v>
      </c>
      <c r="BG493" s="68">
        <f t="shared" si="468"/>
        <v>-39.3298680891099</v>
      </c>
      <c r="BH493" s="31">
        <f t="shared" si="469"/>
        <v>-89.4736733985852</v>
      </c>
      <c r="BI493" s="30" t="str">
        <f t="shared" si="423"/>
        <v>0,485702155966255+0,188268414380504i</v>
      </c>
      <c r="BJ493" s="68">
        <f t="shared" si="470"/>
        <v>-5.66467645046947</v>
      </c>
      <c r="BK493" s="31">
        <f t="shared" si="424"/>
        <v>21.1873829970211</v>
      </c>
      <c r="BL493" s="32">
        <f t="shared" si="471"/>
        <v>-39.3298680891099</v>
      </c>
      <c r="BM493" s="31">
        <f t="shared" si="472"/>
        <v>-89.4736733985852</v>
      </c>
      <c r="BO493">
        <f t="shared" si="473"/>
        <v>0</v>
      </c>
      <c r="BP493">
        <f t="shared" si="474"/>
        <v>0</v>
      </c>
    </row>
    <row r="494" spans="14:68">
      <c r="N494" s="7">
        <v>76</v>
      </c>
      <c r="O494" s="18">
        <f t="shared" si="475"/>
        <v>575439.937337157</v>
      </c>
      <c r="P494" s="86" t="str">
        <f t="shared" si="425"/>
        <v>96,0576923076923</v>
      </c>
      <c r="Q494" s="4" t="str">
        <f t="shared" si="426"/>
        <v>1+4826,26409335251i</v>
      </c>
      <c r="R494" s="4">
        <f t="shared" si="437"/>
        <v>4826.26419695231</v>
      </c>
      <c r="S494" s="4">
        <f t="shared" si="438"/>
        <v>1.57058912719571</v>
      </c>
      <c r="T494" s="4" t="str">
        <f t="shared" si="427"/>
        <v>1+56,6925415080376i</v>
      </c>
      <c r="U494" s="4">
        <f t="shared" si="439"/>
        <v>56.7013603244275</v>
      </c>
      <c r="V494" s="4">
        <f t="shared" si="440"/>
        <v>1.55315915122886</v>
      </c>
      <c r="W494" t="str">
        <f t="shared" si="428"/>
        <v>1-26,9161017647288i</v>
      </c>
      <c r="X494" s="4">
        <f t="shared" si="441"/>
        <v>26.9346716001743</v>
      </c>
      <c r="Y494" s="4">
        <f t="shared" si="442"/>
        <v>-1.53366092408717</v>
      </c>
      <c r="Z494" t="str">
        <f t="shared" si="429"/>
        <v>-1,70311119577628+46,1393190197343i</v>
      </c>
      <c r="AA494" s="4">
        <f t="shared" si="443"/>
        <v>46.1707412475693</v>
      </c>
      <c r="AB494" s="4">
        <f t="shared" si="444"/>
        <v>1.60769193675704</v>
      </c>
      <c r="AC494" s="67" t="str">
        <f t="shared" si="445"/>
        <v>-0,658256569445281+0,0113166657579617i</v>
      </c>
      <c r="AD494" s="68">
        <f t="shared" si="446"/>
        <v>-3.63081254441262</v>
      </c>
      <c r="AE494" s="31">
        <f t="shared" si="447"/>
        <v>179.015075052364</v>
      </c>
      <c r="AF494" s="32" t="str">
        <f t="shared" si="448"/>
        <v>236,914774604583</v>
      </c>
      <c r="AG494" s="32" t="str">
        <f t="shared" si="430"/>
        <v>1+1191,83183852124i</v>
      </c>
      <c r="AH494" s="32">
        <f t="shared" si="449"/>
        <v>1191.83225804344</v>
      </c>
      <c r="AI494" s="32">
        <f t="shared" si="450"/>
        <v>1.56995728244903</v>
      </c>
      <c r="AJ494" s="32" t="str">
        <f t="shared" si="431"/>
        <v>1+56,6925415080376i</v>
      </c>
      <c r="AK494" s="32">
        <f t="shared" si="451"/>
        <v>56.7013603244275</v>
      </c>
      <c r="AL494" s="32">
        <f t="shared" si="452"/>
        <v>1.55315915122886</v>
      </c>
      <c r="AM494" s="32" t="str">
        <f t="shared" si="432"/>
        <v>1-2,69490596575682i</v>
      </c>
      <c r="AN494" s="32">
        <f t="shared" si="453"/>
        <v>2.87445962996033</v>
      </c>
      <c r="AO494" s="32">
        <f t="shared" si="454"/>
        <v>-1.21547517428606</v>
      </c>
      <c r="AP494" s="30" t="str">
        <f t="shared" si="455"/>
        <v>10,7594017271687-30,5598882002336i</v>
      </c>
      <c r="AQ494" s="32">
        <f t="shared" si="456"/>
        <v>30.210534025101</v>
      </c>
      <c r="AR494" s="31">
        <f t="shared" si="457"/>
        <v>-70.6040596121424</v>
      </c>
      <c r="AS494" t="str">
        <f t="shared" si="433"/>
        <v>-0,000272527472527473</v>
      </c>
      <c r="AT494" t="str">
        <f t="shared" si="434"/>
        <v>0,81242436714643i</v>
      </c>
      <c r="AU494">
        <f t="shared" si="458"/>
        <v>0.81242436714643</v>
      </c>
      <c r="AV494">
        <f t="shared" si="459"/>
        <v>1.5707963267949</v>
      </c>
      <c r="AW494" t="str">
        <f t="shared" si="435"/>
        <v>1+41,5946374639761i</v>
      </c>
      <c r="AX494">
        <f t="shared" si="460"/>
        <v>41.6066565078186</v>
      </c>
      <c r="AY494">
        <f t="shared" si="461"/>
        <v>1.54675939650291</v>
      </c>
      <c r="AZ494" t="str">
        <f t="shared" si="436"/>
        <v>1+1988,57766769264i</v>
      </c>
      <c r="BA494">
        <f t="shared" si="462"/>
        <v>1988.57791912862</v>
      </c>
      <c r="BB494">
        <f t="shared" si="463"/>
        <v>1.57029345485182</v>
      </c>
      <c r="BC494" s="30" t="str">
        <f t="shared" si="464"/>
        <v>-0,000377280083046148+0,0160282779302734i</v>
      </c>
      <c r="BD494" s="32">
        <f t="shared" si="465"/>
        <v>-35.8998571398732</v>
      </c>
      <c r="BE494" s="31">
        <f t="shared" si="466"/>
        <v>91.3484022182073</v>
      </c>
      <c r="BF494" s="30" t="str">
        <f t="shared" si="467"/>
        <v>0,0000669604291733699-0,0105549887970942i</v>
      </c>
      <c r="BG494" s="68">
        <f t="shared" si="468"/>
        <v>-39.5306696842858</v>
      </c>
      <c r="BH494" s="31">
        <f t="shared" si="469"/>
        <v>-89.6365227294285</v>
      </c>
      <c r="BI494" s="30" t="str">
        <f t="shared" si="423"/>
        <v>0,485763073614274+0,183984318404589i</v>
      </c>
      <c r="BJ494" s="68">
        <f t="shared" si="470"/>
        <v>-5.6893231147722</v>
      </c>
      <c r="BK494" s="31">
        <f t="shared" si="424"/>
        <v>20.7443426060649</v>
      </c>
      <c r="BL494" s="32">
        <f t="shared" si="471"/>
        <v>-39.5306696842858</v>
      </c>
      <c r="BM494" s="31">
        <f t="shared" si="472"/>
        <v>-89.6365227294285</v>
      </c>
      <c r="BO494">
        <f t="shared" si="473"/>
        <v>0</v>
      </c>
      <c r="BP494">
        <f t="shared" si="474"/>
        <v>0</v>
      </c>
    </row>
    <row r="495" spans="14:68">
      <c r="N495" s="7">
        <v>77</v>
      </c>
      <c r="O495" s="18">
        <f t="shared" si="475"/>
        <v>588843.655355589</v>
      </c>
      <c r="P495" s="86" t="str">
        <f t="shared" si="425"/>
        <v>96,0576923076923</v>
      </c>
      <c r="Q495" s="4" t="str">
        <f t="shared" si="426"/>
        <v>1+4938,68222562385i</v>
      </c>
      <c r="R495" s="4">
        <f t="shared" si="437"/>
        <v>4938.68232686543</v>
      </c>
      <c r="S495" s="4">
        <f t="shared" si="438"/>
        <v>1.57059384363428</v>
      </c>
      <c r="T495" s="4" t="str">
        <f t="shared" si="427"/>
        <v>1+58,0130804397606i</v>
      </c>
      <c r="U495" s="4">
        <f t="shared" si="439"/>
        <v>58.0216985455453</v>
      </c>
      <c r="V495" s="4">
        <f t="shared" si="440"/>
        <v>1.55356054192766</v>
      </c>
      <c r="W495" t="str">
        <f t="shared" si="428"/>
        <v>1-27,5430583153626i</v>
      </c>
      <c r="X495" s="4">
        <f t="shared" si="441"/>
        <v>27.5612057313076</v>
      </c>
      <c r="Y495" s="4">
        <f t="shared" si="442"/>
        <v>-1.53450547842772</v>
      </c>
      <c r="Z495" t="str">
        <f t="shared" si="429"/>
        <v>-1,83050490165334+47,2140418215003i</v>
      </c>
      <c r="AA495" s="4">
        <f t="shared" si="443"/>
        <v>47.2495131542893</v>
      </c>
      <c r="AB495" s="4">
        <f t="shared" si="444"/>
        <v>1.60954726801879</v>
      </c>
      <c r="AC495" s="67" t="str">
        <f t="shared" si="445"/>
        <v>-0,65815752459763+0,0128313496248997i</v>
      </c>
      <c r="AD495" s="68">
        <f t="shared" si="446"/>
        <v>-3.63175259186715</v>
      </c>
      <c r="AE495" s="31">
        <f t="shared" si="447"/>
        <v>178.883110763138</v>
      </c>
      <c r="AF495" s="32" t="str">
        <f t="shared" si="448"/>
        <v>236,914774604583</v>
      </c>
      <c r="AG495" s="32" t="str">
        <f t="shared" si="430"/>
        <v>1+1219,59316833588i</v>
      </c>
      <c r="AH495" s="32">
        <f t="shared" si="449"/>
        <v>1219.59357830859</v>
      </c>
      <c r="AI495" s="32">
        <f t="shared" si="450"/>
        <v>1.56997638142142</v>
      </c>
      <c r="AJ495" s="32" t="str">
        <f t="shared" si="431"/>
        <v>1+58,0130804397606i</v>
      </c>
      <c r="AK495" s="32">
        <f t="shared" si="451"/>
        <v>58.0216985455453</v>
      </c>
      <c r="AL495" s="32">
        <f t="shared" si="452"/>
        <v>1.55356054192766</v>
      </c>
      <c r="AM495" s="32" t="str">
        <f t="shared" si="432"/>
        <v>1-2,75767838961455i</v>
      </c>
      <c r="AN495" s="32">
        <f t="shared" si="453"/>
        <v>2.93339225139549</v>
      </c>
      <c r="AO495" s="32">
        <f t="shared" si="454"/>
        <v>-1.22291986322185</v>
      </c>
      <c r="AP495" s="30" t="str">
        <f t="shared" si="455"/>
        <v>10,7593945614342-31,2629801593558i</v>
      </c>
      <c r="AQ495" s="32">
        <f t="shared" si="456"/>
        <v>30.3867519019901</v>
      </c>
      <c r="AR495" s="31">
        <f t="shared" si="457"/>
        <v>-71.0087051654845</v>
      </c>
      <c r="AS495" t="str">
        <f t="shared" si="433"/>
        <v>-0,000272527472527473</v>
      </c>
      <c r="AT495" t="str">
        <f t="shared" si="434"/>
        <v>0,831348161659069i</v>
      </c>
      <c r="AU495">
        <f t="shared" si="458"/>
        <v>0.831348161659069</v>
      </c>
      <c r="AV495">
        <f t="shared" si="459"/>
        <v>1.5707963267949</v>
      </c>
      <c r="AW495" t="str">
        <f t="shared" si="435"/>
        <v>1+42,5635010333452i</v>
      </c>
      <c r="AX495">
        <f t="shared" si="460"/>
        <v>42.5752465667033</v>
      </c>
      <c r="AY495">
        <f t="shared" si="461"/>
        <v>1.54730634024606</v>
      </c>
      <c r="AZ495" t="str">
        <f t="shared" si="436"/>
        <v>1+2034,89759195589i</v>
      </c>
      <c r="BA495">
        <f t="shared" si="462"/>
        <v>2034.89783766849</v>
      </c>
      <c r="BB495">
        <f t="shared" si="463"/>
        <v>1.57030490161289</v>
      </c>
      <c r="BC495" s="30" t="str">
        <f t="shared" si="464"/>
        <v>-0,000360309049876031+0,0156638285039671i</v>
      </c>
      <c r="BD495" s="32">
        <f t="shared" si="465"/>
        <v>-36.099744275149</v>
      </c>
      <c r="BE495" s="31">
        <f t="shared" si="466"/>
        <v>91.3177205011915</v>
      </c>
      <c r="BF495" s="30" t="str">
        <f t="shared" si="467"/>
        <v>0,0000361520523576611-0,0103138898452848i</v>
      </c>
      <c r="BG495" s="68">
        <f t="shared" si="468"/>
        <v>-39.7314968670161</v>
      </c>
      <c r="BH495" s="31">
        <f t="shared" si="469"/>
        <v>-89.799168735671</v>
      </c>
      <c r="BI495" s="30" t="str">
        <f t="shared" si="423"/>
        <v>0,485821252507403+0,179797645894332i</v>
      </c>
      <c r="BJ495" s="68">
        <f t="shared" si="470"/>
        <v>-5.71299237315889</v>
      </c>
      <c r="BK495" s="31">
        <f t="shared" si="424"/>
        <v>20.309015335707</v>
      </c>
      <c r="BL495" s="32">
        <f t="shared" si="471"/>
        <v>-39.7314968670161</v>
      </c>
      <c r="BM495" s="31">
        <f t="shared" si="472"/>
        <v>-89.799168735671</v>
      </c>
      <c r="BO495">
        <f t="shared" si="473"/>
        <v>0</v>
      </c>
      <c r="BP495">
        <f t="shared" si="474"/>
        <v>0</v>
      </c>
    </row>
    <row r="496" spans="14:68">
      <c r="N496" s="7">
        <v>78</v>
      </c>
      <c r="O496" s="18">
        <f t="shared" si="475"/>
        <v>602559.586074359</v>
      </c>
      <c r="P496" s="86" t="str">
        <f t="shared" si="425"/>
        <v>96,0576923076923</v>
      </c>
      <c r="Q496" s="4" t="str">
        <f t="shared" si="426"/>
        <v>1+5053,71891258242i</v>
      </c>
      <c r="R496" s="4">
        <f t="shared" si="437"/>
        <v>5053.71901151946</v>
      </c>
      <c r="S496" s="4">
        <f t="shared" si="438"/>
        <v>1.5705984527136</v>
      </c>
      <c r="T496" s="4" t="str">
        <f t="shared" si="427"/>
        <v>1+59,3643786746269i</v>
      </c>
      <c r="U496" s="4">
        <f t="shared" si="439"/>
        <v>59.3728006365246</v>
      </c>
      <c r="V496" s="4">
        <f t="shared" si="440"/>
        <v>1.5539528012259</v>
      </c>
      <c r="W496" t="str">
        <f t="shared" si="428"/>
        <v>1-28,1846185600907i</v>
      </c>
      <c r="X496" s="4">
        <f t="shared" si="441"/>
        <v>28.2023531532</v>
      </c>
      <c r="Y496" s="4">
        <f t="shared" si="442"/>
        <v>-1.5353308584145</v>
      </c>
      <c r="Z496" t="str">
        <f t="shared" si="429"/>
        <v>-1,96390248791923+48,3137981331918i</v>
      </c>
      <c r="AA496" s="4">
        <f t="shared" si="443"/>
        <v>48.3536968911051</v>
      </c>
      <c r="AB496" s="4">
        <f t="shared" si="444"/>
        <v>1.61142285506381</v>
      </c>
      <c r="AC496" s="67" t="str">
        <f t="shared" si="445"/>
        <v>-0,658053171957203+0,0143522506511818i</v>
      </c>
      <c r="AD496" s="68">
        <f t="shared" si="446"/>
        <v>-3.6327148870319</v>
      </c>
      <c r="AE496" s="31">
        <f t="shared" si="447"/>
        <v>178.750567473083</v>
      </c>
      <c r="AF496" s="32" t="str">
        <f t="shared" si="448"/>
        <v>236,914774604583</v>
      </c>
      <c r="AG496" s="32" t="str">
        <f t="shared" si="430"/>
        <v>1+1248,00114259159i</v>
      </c>
      <c r="AH496" s="32">
        <f t="shared" si="449"/>
        <v>1248.00154323218</v>
      </c>
      <c r="AI496" s="32">
        <f t="shared" si="450"/>
        <v>1.56999504564871</v>
      </c>
      <c r="AJ496" s="32" t="str">
        <f t="shared" si="431"/>
        <v>1+59,3643786746269i</v>
      </c>
      <c r="AK496" s="32">
        <f t="shared" si="451"/>
        <v>59.3728006365246</v>
      </c>
      <c r="AL496" s="32">
        <f t="shared" si="452"/>
        <v>1.5539528012259</v>
      </c>
      <c r="AM496" s="32" t="str">
        <f t="shared" si="432"/>
        <v>1-2,82191297105665i</v>
      </c>
      <c r="AN496" s="32">
        <f t="shared" si="453"/>
        <v>2.99385918443366</v>
      </c>
      <c r="AO496" s="32">
        <f t="shared" si="454"/>
        <v>-1.23023413782034</v>
      </c>
      <c r="AP496" s="30" t="str">
        <f t="shared" si="455"/>
        <v>10,7593877182104-31,9826481638443i</v>
      </c>
      <c r="AQ496" s="32">
        <f t="shared" si="456"/>
        <v>30.5639185532293</v>
      </c>
      <c r="AR496" s="31">
        <f t="shared" si="457"/>
        <v>-71.4063768093648</v>
      </c>
      <c r="AS496" t="str">
        <f t="shared" si="433"/>
        <v>-0,000272527472527473</v>
      </c>
      <c r="AT496" t="str">
        <f t="shared" si="434"/>
        <v>0,850712747971214i</v>
      </c>
      <c r="AU496">
        <f t="shared" si="458"/>
        <v>0.850712747971214</v>
      </c>
      <c r="AV496">
        <f t="shared" si="459"/>
        <v>1.5707963267949</v>
      </c>
      <c r="AW496" t="str">
        <f t="shared" si="435"/>
        <v>1+43,5549323343569i</v>
      </c>
      <c r="AX496">
        <f t="shared" si="460"/>
        <v>43.5664105779947</v>
      </c>
      <c r="AY496">
        <f t="shared" si="461"/>
        <v>1.5478408476126</v>
      </c>
      <c r="AZ496" t="str">
        <f t="shared" si="436"/>
        <v>1+2082,29644585744i</v>
      </c>
      <c r="BA496">
        <f t="shared" si="462"/>
        <v>2082.29668597693</v>
      </c>
      <c r="BB496">
        <f t="shared" si="463"/>
        <v>1.57031608781398</v>
      </c>
      <c r="BC496" s="30" t="str">
        <f t="shared" si="464"/>
        <v>-0,000344101015198471+0,0153076483653149i</v>
      </c>
      <c r="BD496" s="32">
        <f t="shared" si="465"/>
        <v>-36.2996364874337</v>
      </c>
      <c r="BE496" s="31">
        <f t="shared" si="466"/>
        <v>91.2877364070817</v>
      </c>
      <c r="BF496" s="30" t="str">
        <f t="shared" si="467"/>
        <v>6,73755830589477E-06-0,0100781851860204i</v>
      </c>
      <c r="BG496" s="68">
        <f t="shared" si="468"/>
        <v>-39.9323513744657</v>
      </c>
      <c r="BH496" s="31">
        <f t="shared" si="469"/>
        <v>-89.9616961198355</v>
      </c>
      <c r="BI496" s="30" t="str">
        <f t="shared" si="423"/>
        <v>0,485876815646963+0,175706185518367i</v>
      </c>
      <c r="BJ496" s="68">
        <f t="shared" si="470"/>
        <v>-5.73571793420441</v>
      </c>
      <c r="BK496" s="31">
        <f t="shared" si="424"/>
        <v>19.8813595977169</v>
      </c>
      <c r="BL496" s="32">
        <f t="shared" si="471"/>
        <v>-39.9323513744657</v>
      </c>
      <c r="BM496" s="31">
        <f t="shared" si="472"/>
        <v>-89.9616961198355</v>
      </c>
      <c r="BO496">
        <f t="shared" si="473"/>
        <v>0</v>
      </c>
      <c r="BP496">
        <f t="shared" si="474"/>
        <v>0</v>
      </c>
    </row>
    <row r="497" spans="14:68">
      <c r="N497" s="7">
        <v>79</v>
      </c>
      <c r="O497" s="18">
        <f t="shared" si="475"/>
        <v>616595.001861483</v>
      </c>
      <c r="P497" s="86" t="str">
        <f t="shared" si="425"/>
        <v>96,0576923076923</v>
      </c>
      <c r="Q497" s="4" t="str">
        <f t="shared" si="426"/>
        <v>1+5171,43514820229i</v>
      </c>
      <c r="R497" s="4">
        <f t="shared" si="437"/>
        <v>5171.43524488725</v>
      </c>
      <c r="S497" s="4">
        <f t="shared" si="438"/>
        <v>1.57060295687748</v>
      </c>
      <c r="T497" s="4" t="str">
        <f t="shared" si="427"/>
        <v>1+60,7471526888466i</v>
      </c>
      <c r="U497" s="4">
        <f t="shared" si="439"/>
        <v>60.7553829697587</v>
      </c>
      <c r="V497" s="4">
        <f t="shared" si="440"/>
        <v>1.55433613662154</v>
      </c>
      <c r="W497" t="str">
        <f t="shared" si="428"/>
        <v>1-28,8411226626469i</v>
      </c>
      <c r="X497" s="4">
        <f t="shared" si="441"/>
        <v>28.85845381239</v>
      </c>
      <c r="Y497" s="4">
        <f t="shared" si="442"/>
        <v>-1.53613749717399</v>
      </c>
      <c r="Z497" t="str">
        <f t="shared" si="429"/>
        <v>-2,1035869087393+49,439171060162i</v>
      </c>
      <c r="AA497" s="4">
        <f t="shared" si="443"/>
        <v>49.4839035747846</v>
      </c>
      <c r="AB497" s="4">
        <f t="shared" si="444"/>
        <v>1.61331966981425</v>
      </c>
      <c r="AC497" s="67" t="str">
        <f t="shared" si="445"/>
        <v>-0,657943295332575+0,0158801317511433i</v>
      </c>
      <c r="AD497" s="68">
        <f t="shared" si="446"/>
        <v>-3.63370145194426</v>
      </c>
      <c r="AE497" s="31">
        <f t="shared" si="447"/>
        <v>178.617376427581</v>
      </c>
      <c r="AF497" s="32" t="str">
        <f t="shared" si="448"/>
        <v>236,914774604583</v>
      </c>
      <c r="AG497" s="32" t="str">
        <f t="shared" si="430"/>
        <v>1+1277,07082357234i</v>
      </c>
      <c r="AH497" s="32">
        <f t="shared" si="449"/>
        <v>1277.07121509324</v>
      </c>
      <c r="AI497" s="32">
        <f t="shared" si="450"/>
        <v>1.57001328502685</v>
      </c>
      <c r="AJ497" s="32" t="str">
        <f t="shared" si="431"/>
        <v>1+60,7471526888466i</v>
      </c>
      <c r="AK497" s="32">
        <f t="shared" si="451"/>
        <v>60.7553829697587</v>
      </c>
      <c r="AL497" s="32">
        <f t="shared" si="452"/>
        <v>1.55433613662154</v>
      </c>
      <c r="AM497" s="32" t="str">
        <f t="shared" si="432"/>
        <v>1-2,88764376810843i</v>
      </c>
      <c r="AN497" s="32">
        <f t="shared" si="453"/>
        <v>3.05589373694431</v>
      </c>
      <c r="AO497" s="32">
        <f t="shared" si="454"/>
        <v>-1.23741874481783</v>
      </c>
      <c r="AP497" s="30" t="str">
        <f t="shared" si="455"/>
        <v>10,7593811829821-32,719273791236i</v>
      </c>
      <c r="AQ497" s="32">
        <f t="shared" si="456"/>
        <v>30.7420008063247</v>
      </c>
      <c r="AR497" s="31">
        <f t="shared" si="457"/>
        <v>-71.7971060068622</v>
      </c>
      <c r="AS497" t="str">
        <f t="shared" si="433"/>
        <v>-0,000272527472527473</v>
      </c>
      <c r="AT497" t="str">
        <f t="shared" si="434"/>
        <v>0,870528393442846i</v>
      </c>
      <c r="AU497">
        <f t="shared" si="458"/>
        <v>0.870528393442846</v>
      </c>
      <c r="AV497">
        <f t="shared" si="459"/>
        <v>1.5707963267949</v>
      </c>
      <c r="AW497" t="str">
        <f t="shared" si="435"/>
        <v>1+44,5694570370098i</v>
      </c>
      <c r="AX497">
        <f t="shared" si="460"/>
        <v>44.5806740704295</v>
      </c>
      <c r="AY497">
        <f t="shared" si="461"/>
        <v>1.54836320078305</v>
      </c>
      <c r="AZ497" t="str">
        <f t="shared" si="436"/>
        <v>1+2130,79936089704i</v>
      </c>
      <c r="BA497">
        <f t="shared" si="462"/>
        <v>2130.79959555075</v>
      </c>
      <c r="BB497">
        <f t="shared" si="463"/>
        <v>1.57032701938617</v>
      </c>
      <c r="BC497" s="30" t="str">
        <f t="shared" si="464"/>
        <v>-0,000328621710855939+0,0149595510553362i</v>
      </c>
      <c r="BD497" s="32">
        <f t="shared" si="465"/>
        <v>-36.4995335484652</v>
      </c>
      <c r="BE497" s="31">
        <f t="shared" si="466"/>
        <v>91.2584341079497</v>
      </c>
      <c r="BF497" s="30" t="str">
        <f t="shared" si="467"/>
        <v>-0,0000213451903383085-0,00984775487410848i</v>
      </c>
      <c r="BG497" s="68">
        <f t="shared" si="468"/>
        <v>-40.1332350004095</v>
      </c>
      <c r="BH497" s="31">
        <f t="shared" si="469"/>
        <v>-90.124189464469</v>
      </c>
      <c r="BI497" s="30" t="str">
        <f t="shared" si="423"/>
        <v>0,485929880521416+0,171707775861884i</v>
      </c>
      <c r="BJ497" s="68">
        <f t="shared" si="470"/>
        <v>-5.75753274214054</v>
      </c>
      <c r="BK497" s="31">
        <f t="shared" si="424"/>
        <v>19.4613281010875</v>
      </c>
      <c r="BL497" s="32">
        <f t="shared" si="471"/>
        <v>-40.1332350004095</v>
      </c>
      <c r="BM497" s="31">
        <f t="shared" si="472"/>
        <v>-90.124189464469</v>
      </c>
      <c r="BO497">
        <f t="shared" si="473"/>
        <v>0</v>
      </c>
      <c r="BP497">
        <f t="shared" si="474"/>
        <v>0</v>
      </c>
    </row>
    <row r="498" spans="14:68">
      <c r="N498" s="7">
        <v>80</v>
      </c>
      <c r="O498" s="18">
        <f t="shared" si="475"/>
        <v>630957.344480194</v>
      </c>
      <c r="P498" s="86" t="str">
        <f t="shared" si="425"/>
        <v>96,0576923076923</v>
      </c>
      <c r="Q498" s="4" t="str">
        <f t="shared" si="426"/>
        <v>1+5291,89334718978i</v>
      </c>
      <c r="R498" s="4">
        <f t="shared" si="437"/>
        <v>5291.89344167392</v>
      </c>
      <c r="S498" s="4">
        <f t="shared" si="438"/>
        <v>1.57060735851408</v>
      </c>
      <c r="T498" s="4" t="str">
        <f t="shared" si="427"/>
        <v>1+62,1621356475056i</v>
      </c>
      <c r="U498" s="4">
        <f t="shared" si="439"/>
        <v>62.1701786088707</v>
      </c>
      <c r="V498" s="4">
        <f t="shared" si="440"/>
        <v>1.55471075091317</v>
      </c>
      <c r="W498" t="str">
        <f t="shared" si="428"/>
        <v>1-29,5129187101962i</v>
      </c>
      <c r="X498" s="4">
        <f t="shared" si="441"/>
        <v>29.529855583708</v>
      </c>
      <c r="Y498" s="4">
        <f t="shared" si="442"/>
        <v>-1.53692581819553</v>
      </c>
      <c r="Z498" t="str">
        <f t="shared" si="429"/>
        <v>-2,24985445349795+50,5907572900332i</v>
      </c>
      <c r="AA498" s="4">
        <f t="shared" si="443"/>
        <v>50.6407599492837</v>
      </c>
      <c r="AB498" s="4">
        <f t="shared" si="444"/>
        <v>1.61523869397182</v>
      </c>
      <c r="AC498" s="67" t="str">
        <f t="shared" si="445"/>
        <v>-0,657827667315595+0,0174157565954222i</v>
      </c>
      <c r="AD498" s="68">
        <f t="shared" si="446"/>
        <v>-3.6347143586482</v>
      </c>
      <c r="AE498" s="31">
        <f t="shared" si="447"/>
        <v>178.483468597789</v>
      </c>
      <c r="AF498" s="32" t="str">
        <f t="shared" si="448"/>
        <v>236,914774604583</v>
      </c>
      <c r="AG498" s="32" t="str">
        <f t="shared" si="430"/>
        <v>1+1306,81762440779i</v>
      </c>
      <c r="AH498" s="32">
        <f t="shared" si="449"/>
        <v>1306.81800701659</v>
      </c>
      <c r="AI498" s="32">
        <f t="shared" si="450"/>
        <v>1.57003110922656</v>
      </c>
      <c r="AJ498" s="32" t="str">
        <f t="shared" si="431"/>
        <v>1+62,1621356475056i</v>
      </c>
      <c r="AK498" s="32">
        <f t="shared" si="451"/>
        <v>62.1701786088707</v>
      </c>
      <c r="AL498" s="32">
        <f t="shared" si="452"/>
        <v>1.55471075091317</v>
      </c>
      <c r="AM498" s="32" t="str">
        <f t="shared" si="432"/>
        <v>1-2,95490563210854i</v>
      </c>
      <c r="AN498" s="32">
        <f t="shared" si="453"/>
        <v>3.11952997976727</v>
      </c>
      <c r="AO498" s="32">
        <f t="shared" si="454"/>
        <v>-1.24447452577626</v>
      </c>
      <c r="AP498" s="30" t="str">
        <f t="shared" si="455"/>
        <v>10,7593749418872-33,4732476102214i</v>
      </c>
      <c r="AQ498" s="32">
        <f t="shared" si="456"/>
        <v>30.920966278421</v>
      </c>
      <c r="AR498" s="31">
        <f t="shared" si="457"/>
        <v>-72.1809299105096</v>
      </c>
      <c r="AS498" t="str">
        <f t="shared" si="433"/>
        <v>-0,000272527472527473</v>
      </c>
      <c r="AT498" t="str">
        <f t="shared" si="434"/>
        <v>0,890805604591487i</v>
      </c>
      <c r="AU498">
        <f t="shared" si="458"/>
        <v>0.890805604591487</v>
      </c>
      <c r="AV498">
        <f t="shared" si="459"/>
        <v>1.5707963267949</v>
      </c>
      <c r="AW498" t="str">
        <f t="shared" si="435"/>
        <v>1+45,6076130557302i</v>
      </c>
      <c r="AX498">
        <f t="shared" si="460"/>
        <v>45.6185748203647</v>
      </c>
      <c r="AY498">
        <f t="shared" si="461"/>
        <v>1.5488736755751</v>
      </c>
      <c r="AZ498" t="str">
        <f t="shared" si="436"/>
        <v>1+2180,43205396225i</v>
      </c>
      <c r="BA498">
        <f t="shared" si="462"/>
        <v>2180.43228327459</v>
      </c>
      <c r="BB498">
        <f t="shared" si="463"/>
        <v>1.5703377021255</v>
      </c>
      <c r="BC498" s="30" t="str">
        <f t="shared" si="464"/>
        <v>-0,000313838404646083+0,0146193542412587i</v>
      </c>
      <c r="BD498" s="32">
        <f t="shared" si="465"/>
        <v>-36.6994352402337</v>
      </c>
      <c r="BE498" s="31">
        <f t="shared" si="466"/>
        <v>91.2297981326945</v>
      </c>
      <c r="BF498" s="30" t="str">
        <f t="shared" si="467"/>
        <v>-0,0000481555294056341-0,00962248143145317i</v>
      </c>
      <c r="BG498" s="68">
        <f t="shared" si="468"/>
        <v>-40.3341495988819</v>
      </c>
      <c r="BH498" s="31">
        <f t="shared" si="469"/>
        <v>-90.2867332695164</v>
      </c>
      <c r="BI498" s="30" t="str">
        <f t="shared" ref="BI498:BI560" si="476">IMPRODUCT(AP498,BC498)</f>
        <v>0,485980559352442+0,167800304318286i</v>
      </c>
      <c r="BJ498" s="68">
        <f t="shared" si="470"/>
        <v>-5.77846896181266</v>
      </c>
      <c r="BK498" s="31">
        <f t="shared" ref="BK498:BK560" si="477">(180/PI())*IMARGUMENT(BI498)</f>
        <v>19.0488682221849</v>
      </c>
      <c r="BL498" s="32">
        <f t="shared" si="471"/>
        <v>-40.3341495988819</v>
      </c>
      <c r="BM498" s="31">
        <f t="shared" si="472"/>
        <v>-90.2867332695164</v>
      </c>
      <c r="BO498">
        <f t="shared" si="473"/>
        <v>0</v>
      </c>
      <c r="BP498">
        <f t="shared" si="474"/>
        <v>0</v>
      </c>
    </row>
    <row r="499" spans="14:68">
      <c r="N499" s="7">
        <v>81</v>
      </c>
      <c r="O499" s="18">
        <f t="shared" si="475"/>
        <v>645654.229034657</v>
      </c>
      <c r="P499" s="86" t="str">
        <f t="shared" si="425"/>
        <v>96,0576923076923</v>
      </c>
      <c r="Q499" s="4" t="str">
        <f t="shared" si="426"/>
        <v>1+5415,15737807646i</v>
      </c>
      <c r="R499" s="4">
        <f t="shared" si="437"/>
        <v>5415.15747040988</v>
      </c>
      <c r="S499" s="4">
        <f t="shared" si="438"/>
        <v>1.5706116599572</v>
      </c>
      <c r="T499" s="4" t="str">
        <f t="shared" si="427"/>
        <v>1+63,6100777932983i</v>
      </c>
      <c r="U499" s="4">
        <f t="shared" si="439"/>
        <v>63.6179376973937</v>
      </c>
      <c r="V499" s="4">
        <f t="shared" si="440"/>
        <v>1.55507684230543</v>
      </c>
      <c r="W499" t="str">
        <f t="shared" si="428"/>
        <v>1-30,2003628978953i</v>
      </c>
      <c r="X499" s="4">
        <f t="shared" si="441"/>
        <v>30.2169144547317</v>
      </c>
      <c r="Y499" s="4">
        <f t="shared" si="442"/>
        <v>-1.5376962355359</v>
      </c>
      <c r="Z499" t="str">
        <f t="shared" si="429"/>
        <v>-2,40301537526808+51,7691674090676i</v>
      </c>
      <c r="AA499" s="4">
        <f t="shared" si="443"/>
        <v>51.8249088481769</v>
      </c>
      <c r="AB499" s="4">
        <f t="shared" si="444"/>
        <v>1.61718091942596</v>
      </c>
      <c r="AC499" s="67" t="str">
        <f t="shared" si="445"/>
        <v>-0,657706048846146+0,0189598898016617i</v>
      </c>
      <c r="AD499" s="68">
        <f t="shared" si="446"/>
        <v>-3.63575573341601</v>
      </c>
      <c r="AE499" s="31">
        <f t="shared" si="447"/>
        <v>178.348774651493</v>
      </c>
      <c r="AF499" s="32" t="str">
        <f t="shared" si="448"/>
        <v>236,914774604583</v>
      </c>
      <c r="AG499" s="32" t="str">
        <f t="shared" si="430"/>
        <v>1+1337,25731724547i</v>
      </c>
      <c r="AH499" s="32">
        <f t="shared" si="449"/>
        <v>1337.25769114504</v>
      </c>
      <c r="AI499" s="32">
        <f t="shared" si="450"/>
        <v>1.57004852769842</v>
      </c>
      <c r="AJ499" s="32" t="str">
        <f t="shared" si="431"/>
        <v>1+63,6100777932983i</v>
      </c>
      <c r="AK499" s="32">
        <f t="shared" si="451"/>
        <v>63.6179376973937</v>
      </c>
      <c r="AL499" s="32">
        <f t="shared" si="452"/>
        <v>1.55507684230543</v>
      </c>
      <c r="AM499" s="32" t="str">
        <f t="shared" si="432"/>
        <v>1-3,02373422618761i</v>
      </c>
      <c r="AN499" s="32">
        <f t="shared" si="453"/>
        <v>3.1848027679306</v>
      </c>
      <c r="AO499" s="32">
        <f t="shared" si="454"/>
        <v>-1.25140241072708</v>
      </c>
      <c r="AP499" s="30" t="str">
        <f t="shared" si="455"/>
        <v>10,7593689816876-34,2449693877312i</v>
      </c>
      <c r="AQ499" s="32">
        <f t="shared" si="456"/>
        <v>31.1007833876142</v>
      </c>
      <c r="AR499" s="31">
        <f t="shared" si="457"/>
        <v>-72.557890992374</v>
      </c>
      <c r="AS499" t="str">
        <f t="shared" si="433"/>
        <v>-0,000272527472527473</v>
      </c>
      <c r="AT499" t="str">
        <f t="shared" si="434"/>
        <v>0,91155513266289i</v>
      </c>
      <c r="AU499">
        <f t="shared" si="458"/>
        <v>0.91155513266289</v>
      </c>
      <c r="AV499">
        <f t="shared" si="459"/>
        <v>1.5707963267949</v>
      </c>
      <c r="AW499" t="str">
        <f t="shared" si="435"/>
        <v>1+46,6699508345811i</v>
      </c>
      <c r="AX499">
        <f t="shared" si="460"/>
        <v>46.6806631369159</v>
      </c>
      <c r="AY499">
        <f t="shared" si="461"/>
        <v>1.54937254158448</v>
      </c>
      <c r="AZ499" t="str">
        <f t="shared" si="436"/>
        <v>1+2231,2208409639i</v>
      </c>
      <c r="BA499">
        <f t="shared" si="462"/>
        <v>2231.22106505645</v>
      </c>
      <c r="BB499">
        <f t="shared" si="463"/>
        <v>1.5703481416961</v>
      </c>
      <c r="BC499" s="30" t="str">
        <f t="shared" si="464"/>
        <v>-0,00029971983175158+0,014286879630454i</v>
      </c>
      <c r="BD499" s="32">
        <f t="shared" si="465"/>
        <v>-36.8993413545223</v>
      </c>
      <c r="BE499" s="31">
        <f t="shared" si="466"/>
        <v>91.2018133591501</v>
      </c>
      <c r="BF499" s="30" t="str">
        <f t="shared" si="467"/>
        <v>-0,0000737501171008497-0,00940224980706777i</v>
      </c>
      <c r="BG499" s="68">
        <f t="shared" si="468"/>
        <v>-40.5350970879384</v>
      </c>
      <c r="BH499" s="31">
        <f t="shared" si="469"/>
        <v>-90.4494119893568</v>
      </c>
      <c r="BI499" s="30" t="str">
        <f t="shared" si="476"/>
        <v>0,486028959330153+0,16398170600424i</v>
      </c>
      <c r="BJ499" s="68">
        <f t="shared" si="470"/>
        <v>-5.79855796690811</v>
      </c>
      <c r="BK499" s="31">
        <f t="shared" si="477"/>
        <v>18.6439223667761</v>
      </c>
      <c r="BL499" s="32">
        <f t="shared" si="471"/>
        <v>-40.5350970879384</v>
      </c>
      <c r="BM499" s="31">
        <f t="shared" si="472"/>
        <v>-90.4494119893568</v>
      </c>
      <c r="BO499">
        <f t="shared" si="473"/>
        <v>0</v>
      </c>
      <c r="BP499">
        <f t="shared" si="474"/>
        <v>0</v>
      </c>
    </row>
    <row r="500" spans="14:68">
      <c r="N500" s="7">
        <v>82</v>
      </c>
      <c r="O500" s="18">
        <f t="shared" si="475"/>
        <v>660693.448007597</v>
      </c>
      <c r="P500" s="86" t="str">
        <f t="shared" si="425"/>
        <v>96,0576923076923</v>
      </c>
      <c r="Q500" s="4" t="str">
        <f t="shared" si="426"/>
        <v>1+5541,29259708305i</v>
      </c>
      <c r="R500" s="4">
        <f t="shared" si="437"/>
        <v>5541.2926873147</v>
      </c>
      <c r="S500" s="4">
        <f t="shared" si="438"/>
        <v>1.57061586348753</v>
      </c>
      <c r="T500" s="4" t="str">
        <f t="shared" si="427"/>
        <v>1+65,0917468443157i</v>
      </c>
      <c r="U500" s="4">
        <f t="shared" si="439"/>
        <v>65.0994278565064</v>
      </c>
      <c r="V500" s="4">
        <f t="shared" si="440"/>
        <v>1.55543460451209</v>
      </c>
      <c r="W500" t="str">
        <f t="shared" si="428"/>
        <v>1-30,9038197177519i</v>
      </c>
      <c r="X500" s="4">
        <f t="shared" si="441"/>
        <v>30.9199947145421</v>
      </c>
      <c r="Y500" s="4">
        <f t="shared" si="442"/>
        <v>-1.53844915402027</v>
      </c>
      <c r="Z500" t="str">
        <f t="shared" si="429"/>
        <v>-2,56339454889933+52,975026225908i</v>
      </c>
      <c r="AA500" s="4">
        <f t="shared" si="443"/>
        <v>53.037009674839</v>
      </c>
      <c r="AB500" s="4">
        <f t="shared" si="444"/>
        <v>1.61914734866009</v>
      </c>
      <c r="AC500" s="67" t="str">
        <f t="shared" si="445"/>
        <v>-0,657578188756619+0,0205132971115255i</v>
      </c>
      <c r="AD500" s="68">
        <f t="shared" si="446"/>
        <v>-3.63682776107255</v>
      </c>
      <c r="AE500" s="31">
        <f t="shared" si="447"/>
        <v>178.213224924158</v>
      </c>
      <c r="AF500" s="32" t="str">
        <f t="shared" si="448"/>
        <v>236,914774604583</v>
      </c>
      <c r="AG500" s="32" t="str">
        <f t="shared" si="430"/>
        <v>1+1368,40604161345i</v>
      </c>
      <c r="AH500" s="32">
        <f t="shared" si="449"/>
        <v>1368.40640700202</v>
      </c>
      <c r="AI500" s="32">
        <f t="shared" si="450"/>
        <v>1.57006554967789</v>
      </c>
      <c r="AJ500" s="32" t="str">
        <f t="shared" si="431"/>
        <v>1+65,0917468443157i</v>
      </c>
      <c r="AK500" s="32">
        <f t="shared" si="451"/>
        <v>65.0994278565064</v>
      </c>
      <c r="AL500" s="32">
        <f t="shared" si="452"/>
        <v>1.55543460451209</v>
      </c>
      <c r="AM500" s="32" t="str">
        <f t="shared" si="432"/>
        <v>1-3,09416604417724i</v>
      </c>
      <c r="AN500" s="32">
        <f t="shared" si="453"/>
        <v>3.25174776219488</v>
      </c>
      <c r="AO500" s="32">
        <f t="shared" si="454"/>
        <v>-1.25820341197376</v>
      </c>
      <c r="AP500" s="30" t="str">
        <f t="shared" si="455"/>
        <v>10,7593632897407-35,0348483008944i</v>
      </c>
      <c r="AQ500" s="32">
        <f t="shared" si="456"/>
        <v>31.2814213612173</v>
      </c>
      <c r="AR500" s="31">
        <f t="shared" si="457"/>
        <v>-72.9280366833442</v>
      </c>
      <c r="AS500" t="str">
        <f t="shared" si="433"/>
        <v>-0,000272527472527473</v>
      </c>
      <c r="AT500" t="str">
        <f t="shared" si="434"/>
        <v>0,932787979331488i</v>
      </c>
      <c r="AU500">
        <f t="shared" si="458"/>
        <v>0.932787979331488</v>
      </c>
      <c r="AV500">
        <f t="shared" si="459"/>
        <v>1.5707963267949</v>
      </c>
      <c r="AW500" t="str">
        <f t="shared" si="435"/>
        <v>1+47,757033639114i</v>
      </c>
      <c r="AX500">
        <f t="shared" si="460"/>
        <v>47.7675021537391</v>
      </c>
      <c r="AY500">
        <f t="shared" si="461"/>
        <v>1.54986006232275</v>
      </c>
      <c r="AZ500" t="str">
        <f t="shared" si="436"/>
        <v>1+2283,19265078913i</v>
      </c>
      <c r="BA500">
        <f t="shared" si="462"/>
        <v>2283.19286978071</v>
      </c>
      <c r="BB500">
        <f t="shared" si="463"/>
        <v>1.57035834363316</v>
      </c>
      <c r="BC500" s="30" t="str">
        <f t="shared" si="464"/>
        <v>-0,000286236129207048+0,0139619528858113i</v>
      </c>
      <c r="BD500" s="32">
        <f t="shared" si="465"/>
        <v>-37.0992516924676</v>
      </c>
      <c r="BE500" s="31">
        <f t="shared" si="466"/>
        <v>91.174465006358</v>
      </c>
      <c r="BF500" s="30" t="str">
        <f t="shared" si="467"/>
        <v>-0,0000981830524030919-0,00918694733691952i</v>
      </c>
      <c r="BG500" s="68">
        <f t="shared" si="468"/>
        <v>-40.7360794535401</v>
      </c>
      <c r="BH500" s="31">
        <f t="shared" si="469"/>
        <v>-90.612310069484</v>
      </c>
      <c r="BI500" s="30" t="str">
        <f t="shared" si="476"/>
        <v>0,486075182837846+0,160249962697691i</v>
      </c>
      <c r="BJ500" s="68">
        <f t="shared" si="470"/>
        <v>-5.81783033125024</v>
      </c>
      <c r="BK500" s="31">
        <f t="shared" si="477"/>
        <v>18.2464283230137</v>
      </c>
      <c r="BL500" s="32">
        <f t="shared" si="471"/>
        <v>-40.7360794535401</v>
      </c>
      <c r="BM500" s="31">
        <f t="shared" si="472"/>
        <v>-90.612310069484</v>
      </c>
      <c r="BO500">
        <f t="shared" si="473"/>
        <v>0</v>
      </c>
      <c r="BP500">
        <f t="shared" si="474"/>
        <v>0</v>
      </c>
    </row>
    <row r="501" spans="14:68">
      <c r="N501" s="7">
        <v>83</v>
      </c>
      <c r="O501" s="18">
        <f t="shared" si="475"/>
        <v>676082.975391983</v>
      </c>
      <c r="P501" s="86" t="str">
        <f t="shared" si="425"/>
        <v>96,0576923076923</v>
      </c>
      <c r="Q501" s="4" t="str">
        <f t="shared" si="426"/>
        <v>1+5670,36588277232i</v>
      </c>
      <c r="R501" s="4">
        <f t="shared" si="437"/>
        <v>5670.36597095005</v>
      </c>
      <c r="S501" s="4">
        <f t="shared" si="438"/>
        <v>1.57061997133384</v>
      </c>
      <c r="T501" s="4" t="str">
        <f t="shared" si="427"/>
        <v>1+66,6079284011013i</v>
      </c>
      <c r="U501" s="4">
        <f t="shared" si="439"/>
        <v>66.6154345920391</v>
      </c>
      <c r="V501" s="4">
        <f t="shared" si="440"/>
        <v>1.55578422685686</v>
      </c>
      <c r="W501" t="str">
        <f t="shared" si="428"/>
        <v>1-31,6236621518834i</v>
      </c>
      <c r="X501" s="4">
        <f t="shared" si="441"/>
        <v>31.6394691468814</v>
      </c>
      <c r="Y501" s="4">
        <f t="shared" si="442"/>
        <v>-1.53918496943949</v>
      </c>
      <c r="Z501" t="str">
        <f t="shared" si="429"/>
        <v>-2,73133216012148+54,2089731028609i</v>
      </c>
      <c r="AA501" s="4">
        <f t="shared" si="443"/>
        <v>54.2777389012808</v>
      </c>
      <c r="AB501" s="4">
        <f t="shared" si="444"/>
        <v>1.62113899515562</v>
      </c>
      <c r="AC501" s="67" t="str">
        <f t="shared" si="445"/>
        <v>-0,657443823295685+0,0220767455531447i</v>
      </c>
      <c r="AD501" s="68">
        <f t="shared" si="446"/>
        <v>-3.63793268942771</v>
      </c>
      <c r="AE501" s="31">
        <f t="shared" si="447"/>
        <v>178.076749390183</v>
      </c>
      <c r="AF501" s="32" t="str">
        <f t="shared" si="448"/>
        <v>236,914774604583</v>
      </c>
      <c r="AG501" s="32" t="str">
        <f t="shared" si="430"/>
        <v>1+1400,2803129777i</v>
      </c>
      <c r="AH501" s="32">
        <f t="shared" si="449"/>
        <v>1400.28067004902</v>
      </c>
      <c r="AI501" s="32">
        <f t="shared" si="450"/>
        <v>1.57008218419021</v>
      </c>
      <c r="AJ501" s="32" t="str">
        <f t="shared" si="431"/>
        <v>1+66,6079284011013i</v>
      </c>
      <c r="AK501" s="32">
        <f t="shared" si="451"/>
        <v>66.6154345920391</v>
      </c>
      <c r="AL501" s="32">
        <f t="shared" si="452"/>
        <v>1.55578422685686</v>
      </c>
      <c r="AM501" s="32" t="str">
        <f t="shared" si="432"/>
        <v>1-3,16623842995964i</v>
      </c>
      <c r="AN501" s="32">
        <f t="shared" si="453"/>
        <v>3.32040145093229</v>
      </c>
      <c r="AO501" s="32">
        <f t="shared" si="454"/>
        <v>-1.26487861806651</v>
      </c>
      <c r="AP501" s="30" t="str">
        <f t="shared" si="455"/>
        <v>10,7593578539734-35,8433031539932i</v>
      </c>
      <c r="AQ501" s="32">
        <f t="shared" si="456"/>
        <v>31.4628502411899</v>
      </c>
      <c r="AR501" s="31">
        <f t="shared" si="457"/>
        <v>-73.2914190224102</v>
      </c>
      <c r="AS501" t="str">
        <f t="shared" si="433"/>
        <v>-0,000272527472527473</v>
      </c>
      <c r="AT501" t="str">
        <f t="shared" si="434"/>
        <v>0,954515402533637i</v>
      </c>
      <c r="AU501">
        <f t="shared" si="458"/>
        <v>0.954515402533637</v>
      </c>
      <c r="AV501">
        <f t="shared" si="459"/>
        <v>1.5707963267949</v>
      </c>
      <c r="AW501" t="str">
        <f t="shared" si="435"/>
        <v>1+48,8694378550218i</v>
      </c>
      <c r="AX501">
        <f t="shared" si="460"/>
        <v>48.8796681276156</v>
      </c>
      <c r="AY501">
        <f t="shared" si="461"/>
        <v>1.55033649535237</v>
      </c>
      <c r="AZ501" t="str">
        <f t="shared" si="436"/>
        <v>1+2336,37503957944i</v>
      </c>
      <c r="BA501">
        <f t="shared" si="462"/>
        <v>2336.37525358617</v>
      </c>
      <c r="BB501">
        <f t="shared" si="463"/>
        <v>1.57036831334586</v>
      </c>
      <c r="BC501" s="30" t="str">
        <f t="shared" si="464"/>
        <v>-0,000273358773270645+0,0136444035425472i</v>
      </c>
      <c r="BD501" s="32">
        <f t="shared" si="465"/>
        <v>-37.2991660641406</v>
      </c>
      <c r="BE501" s="31">
        <f t="shared" si="466"/>
        <v>91.1477386270014</v>
      </c>
      <c r="BF501" s="30" t="str">
        <f t="shared" si="467"/>
        <v>-0,000121505988202769-0,00897646370368363i</v>
      </c>
      <c r="BG501" s="68">
        <f t="shared" si="468"/>
        <v>-40.9370987535683</v>
      </c>
      <c r="BH501" s="31">
        <f t="shared" si="469"/>
        <v>-90.7755119828156</v>
      </c>
      <c r="BI501" s="30" t="str">
        <f t="shared" si="476"/>
        <v>0,486119327666796+0,156603101798431i</v>
      </c>
      <c r="BJ501" s="68">
        <f t="shared" si="470"/>
        <v>-5.83631582295071</v>
      </c>
      <c r="BK501" s="31">
        <f t="shared" si="477"/>
        <v>17.8563196045912</v>
      </c>
      <c r="BL501" s="32">
        <f t="shared" si="471"/>
        <v>-40.9370987535683</v>
      </c>
      <c r="BM501" s="31">
        <f t="shared" si="472"/>
        <v>-90.7755119828156</v>
      </c>
      <c r="BO501">
        <f t="shared" si="473"/>
        <v>0</v>
      </c>
      <c r="BP501">
        <f t="shared" si="474"/>
        <v>0</v>
      </c>
    </row>
    <row r="502" spans="14:68">
      <c r="N502" s="7">
        <v>84</v>
      </c>
      <c r="O502" s="18">
        <f t="shared" si="475"/>
        <v>691830.970918937</v>
      </c>
      <c r="P502" s="86" t="str">
        <f t="shared" si="425"/>
        <v>96,0576923076923</v>
      </c>
      <c r="Q502" s="4" t="str">
        <f t="shared" si="426"/>
        <v>1+5802,44567150877i</v>
      </c>
      <c r="R502" s="4">
        <f t="shared" si="437"/>
        <v>5802.44575767933</v>
      </c>
      <c r="S502" s="4">
        <f t="shared" si="438"/>
        <v>1.57062398567415</v>
      </c>
      <c r="T502" s="4" t="str">
        <f t="shared" si="427"/>
        <v>1+68,159426363185i</v>
      </c>
      <c r="U502" s="4">
        <f t="shared" si="439"/>
        <v>68.1667617109573</v>
      </c>
      <c r="V502" s="4">
        <f t="shared" si="440"/>
        <v>1.55612589437204</v>
      </c>
      <c r="W502" t="str">
        <f t="shared" si="428"/>
        <v>1-32,3602718702763i</v>
      </c>
      <c r="X502" s="4">
        <f t="shared" si="441"/>
        <v>32.3757192278132</v>
      </c>
      <c r="Y502" s="4">
        <f t="shared" si="442"/>
        <v>-1.5399040687437</v>
      </c>
      <c r="Z502" t="str">
        <f t="shared" si="429"/>
        <v>-2,90718442712361+55,4716622948933i</v>
      </c>
      <c r="AA502" s="4">
        <f t="shared" si="443"/>
        <v>55.5477905865931</v>
      </c>
      <c r="AB502" s="4">
        <f t="shared" si="444"/>
        <v>1.62315688379337</v>
      </c>
      <c r="AC502" s="67" t="str">
        <f t="shared" si="445"/>
        <v>-0,657302675630746+0,0236510035880331i</v>
      </c>
      <c r="AD502" s="68">
        <f t="shared" si="446"/>
        <v>-3.63907283382594</v>
      </c>
      <c r="AE502" s="31">
        <f t="shared" si="447"/>
        <v>177.93927763439</v>
      </c>
      <c r="AF502" s="32" t="str">
        <f t="shared" si="448"/>
        <v>236,914774604583</v>
      </c>
      <c r="AG502" s="32" t="str">
        <f t="shared" si="430"/>
        <v>1+1432,89703149877i</v>
      </c>
      <c r="AH502" s="32">
        <f t="shared" si="449"/>
        <v>1432.89738044215</v>
      </c>
      <c r="AI502" s="32">
        <f t="shared" si="450"/>
        <v>1.57009844005519</v>
      </c>
      <c r="AJ502" s="32" t="str">
        <f t="shared" si="431"/>
        <v>1+68,159426363185i</v>
      </c>
      <c r="AK502" s="32">
        <f t="shared" si="451"/>
        <v>68.1667617109573</v>
      </c>
      <c r="AL502" s="32">
        <f t="shared" si="452"/>
        <v>1.55612589437204</v>
      </c>
      <c r="AM502" s="32" t="str">
        <f t="shared" si="432"/>
        <v>1-3,23998959726771i</v>
      </c>
      <c r="AN502" s="32">
        <f t="shared" si="453"/>
        <v>3.39080117234894</v>
      </c>
      <c r="AO502" s="32">
        <f t="shared" si="454"/>
        <v>-1.27142918796065</v>
      </c>
      <c r="AP502" s="30" t="str">
        <f t="shared" si="455"/>
        <v>10,7593526628557-36,6707626005172i</v>
      </c>
      <c r="AQ502" s="32">
        <f t="shared" si="456"/>
        <v>31.6450408869306</v>
      </c>
      <c r="AR502" s="31">
        <f t="shared" si="457"/>
        <v>-73.6480943165887</v>
      </c>
      <c r="AS502" t="str">
        <f t="shared" si="433"/>
        <v>-0,000272527472527473</v>
      </c>
      <c r="AT502" t="str">
        <f t="shared" si="434"/>
        <v>0,976748922436713i</v>
      </c>
      <c r="AU502">
        <f t="shared" si="458"/>
        <v>0.976748922436713</v>
      </c>
      <c r="AV502">
        <f t="shared" si="459"/>
        <v>1.5707963267949</v>
      </c>
      <c r="AW502" t="str">
        <f t="shared" si="435"/>
        <v>1+50,0077532937434i</v>
      </c>
      <c r="AX502">
        <f t="shared" si="460"/>
        <v>50.0177507439899</v>
      </c>
      <c r="AY502">
        <f t="shared" si="461"/>
        <v>1.55080209241876</v>
      </c>
      <c r="AZ502" t="str">
        <f t="shared" si="436"/>
        <v>1+2390,79620534131i</v>
      </c>
      <c r="BA502">
        <f t="shared" si="462"/>
        <v>2390.79641447665</v>
      </c>
      <c r="BB502">
        <f t="shared" si="463"/>
        <v>1.57037805612028</v>
      </c>
      <c r="BC502" s="30" t="str">
        <f t="shared" si="464"/>
        <v>-0,000261060519573586+0,0133340649264576i</v>
      </c>
      <c r="BD502" s="32">
        <f t="shared" si="465"/>
        <v>-37.4990842881456</v>
      </c>
      <c r="BE502" s="31">
        <f t="shared" si="466"/>
        <v>91.1216200999981</v>
      </c>
      <c r="BF502" s="30" t="str">
        <f t="shared" si="467"/>
        <v>-0,000143768239401444-0,00877069089647979i</v>
      </c>
      <c r="BG502" s="68">
        <f t="shared" si="468"/>
        <v>-41.1381571219716</v>
      </c>
      <c r="BH502" s="31">
        <f t="shared" si="469"/>
        <v>-90.9391022656118</v>
      </c>
      <c r="BI502" s="30" t="str">
        <f t="shared" si="476"/>
        <v>0,486161487221569+0,153039195310823i</v>
      </c>
      <c r="BJ502" s="68">
        <f t="shared" si="470"/>
        <v>-5.85404340121504</v>
      </c>
      <c r="BK502" s="31">
        <f t="shared" si="477"/>
        <v>17.4735257834094</v>
      </c>
      <c r="BL502" s="32">
        <f t="shared" si="471"/>
        <v>-41.1381571219716</v>
      </c>
      <c r="BM502" s="31">
        <f t="shared" si="472"/>
        <v>-90.9391022656118</v>
      </c>
      <c r="BO502">
        <f t="shared" si="473"/>
        <v>0</v>
      </c>
      <c r="BP502">
        <f t="shared" si="474"/>
        <v>0</v>
      </c>
    </row>
    <row r="503" spans="14:68">
      <c r="N503" s="7">
        <v>85</v>
      </c>
      <c r="O503" s="18">
        <f t="shared" si="475"/>
        <v>707945.784384139</v>
      </c>
      <c r="P503" s="86" t="str">
        <f t="shared" si="425"/>
        <v>96,0576923076923</v>
      </c>
      <c r="Q503" s="4" t="str">
        <f t="shared" si="426"/>
        <v>1+5937,60199374473i</v>
      </c>
      <c r="R503" s="4">
        <f t="shared" si="437"/>
        <v>5937.60207795381</v>
      </c>
      <c r="S503" s="4">
        <f t="shared" si="438"/>
        <v>1.57062790863693</v>
      </c>
      <c r="T503" s="4" t="str">
        <f t="shared" si="427"/>
        <v>1+69,7470633553233i</v>
      </c>
      <c r="U503" s="4">
        <f t="shared" si="439"/>
        <v>69.7542317475541</v>
      </c>
      <c r="V503" s="4">
        <f t="shared" si="440"/>
        <v>1.55645978789503</v>
      </c>
      <c r="W503" t="str">
        <f t="shared" si="428"/>
        <v>1-33,1140394331538i</v>
      </c>
      <c r="X503" s="4">
        <f t="shared" si="441"/>
        <v>33.1291353279929</v>
      </c>
      <c r="Y503" s="4">
        <f t="shared" si="442"/>
        <v>-1.54060683023238</v>
      </c>
      <c r="Z503" t="str">
        <f t="shared" si="429"/>
        <v>-3,09132435614104+56,7637632965289i</v>
      </c>
      <c r="AA503" s="4">
        <f t="shared" si="443"/>
        <v>56.8478769160224</v>
      </c>
      <c r="AB503" s="4">
        <f t="shared" si="444"/>
        <v>1.62520205125203</v>
      </c>
      <c r="AC503" s="67" t="str">
        <f t="shared" si="445"/>
        <v>-0,657154455328526+0,0252368412414526i</v>
      </c>
      <c r="AD503" s="68">
        <f t="shared" si="446"/>
        <v>-3.64025058182019</v>
      </c>
      <c r="AE503" s="31">
        <f t="shared" si="447"/>
        <v>177.800738823769</v>
      </c>
      <c r="AF503" s="32" t="str">
        <f t="shared" si="448"/>
        <v>236,914774604583</v>
      </c>
      <c r="AG503" s="32" t="str">
        <f t="shared" si="430"/>
        <v>1+1466,27349099259i</v>
      </c>
      <c r="AH503" s="32">
        <f t="shared" si="449"/>
        <v>1466.27383199305</v>
      </c>
      <c r="AI503" s="32">
        <f t="shared" si="450"/>
        <v>1.57011432589186</v>
      </c>
      <c r="AJ503" s="32" t="str">
        <f t="shared" si="431"/>
        <v>1+69,7470633553233i</v>
      </c>
      <c r="AK503" s="32">
        <f t="shared" si="451"/>
        <v>69.7542317475541</v>
      </c>
      <c r="AL503" s="32">
        <f t="shared" si="452"/>
        <v>1.55645978789503</v>
      </c>
      <c r="AM503" s="32" t="str">
        <f t="shared" si="432"/>
        <v>1-3,3154586499466i</v>
      </c>
      <c r="AN503" s="32">
        <f t="shared" si="453"/>
        <v>3.46298513706105</v>
      </c>
      <c r="AO503" s="32">
        <f t="shared" si="454"/>
        <v>-1.27785634536813</v>
      </c>
      <c r="AP503" s="30" t="str">
        <f t="shared" si="455"/>
        <v>10,7593477053765-37,5176653704405i</v>
      </c>
      <c r="AQ503" s="32">
        <f t="shared" si="456"/>
        <v>31.8279649756347</v>
      </c>
      <c r="AR503" s="31">
        <f t="shared" si="457"/>
        <v>-73.9981228120253</v>
      </c>
      <c r="AS503" t="str">
        <f t="shared" si="433"/>
        <v>-0,000272527472527473</v>
      </c>
      <c r="AT503" t="str">
        <f t="shared" si="434"/>
        <v>0,999500327547267i</v>
      </c>
      <c r="AU503">
        <f t="shared" si="458"/>
        <v>0.999500327547267</v>
      </c>
      <c r="AV503">
        <f t="shared" si="459"/>
        <v>1.5707963267949</v>
      </c>
      <c r="AW503" t="str">
        <f t="shared" si="435"/>
        <v>1+51,1725835051925i</v>
      </c>
      <c r="AX503">
        <f t="shared" si="460"/>
        <v>51.1823534296333</v>
      </c>
      <c r="AY503">
        <f t="shared" si="461"/>
        <v>1.55125709957975</v>
      </c>
      <c r="AZ503" t="str">
        <f t="shared" si="436"/>
        <v>1+2446,48500289718i</v>
      </c>
      <c r="BA503">
        <f t="shared" si="462"/>
        <v>2446.48520727202</v>
      </c>
      <c r="BB503">
        <f t="shared" si="463"/>
        <v>1.57038757712215</v>
      </c>
      <c r="BC503" s="30" t="str">
        <f t="shared" si="464"/>
        <v>-0,000249315345926059+0,0130307740736019i</v>
      </c>
      <c r="BD503" s="32">
        <f t="shared" si="465"/>
        <v>-37.6990061912381</v>
      </c>
      <c r="BE503" s="31">
        <f t="shared" si="466"/>
        <v>91.0960956232496</v>
      </c>
      <c r="BF503" s="30" t="str">
        <f t="shared" si="467"/>
        <v>-0,000165016886191645-0,00856952317065113i</v>
      </c>
      <c r="BG503" s="68">
        <f t="shared" si="468"/>
        <v>-41.3392567730583</v>
      </c>
      <c r="BH503" s="31">
        <f t="shared" si="469"/>
        <v>-91.1031655529812</v>
      </c>
      <c r="BI503" s="30" t="str">
        <f t="shared" si="476"/>
        <v>0,486201750716103+0,149556358848258i</v>
      </c>
      <c r="BJ503" s="68">
        <f t="shared" si="470"/>
        <v>-5.87104121560347</v>
      </c>
      <c r="BK503" s="31">
        <f t="shared" si="477"/>
        <v>17.0979728112243</v>
      </c>
      <c r="BL503" s="32">
        <f t="shared" si="471"/>
        <v>-41.3392567730583</v>
      </c>
      <c r="BM503" s="31">
        <f t="shared" si="472"/>
        <v>-91.1031655529812</v>
      </c>
      <c r="BO503">
        <f t="shared" si="473"/>
        <v>0</v>
      </c>
      <c r="BP503">
        <f t="shared" si="474"/>
        <v>0</v>
      </c>
    </row>
    <row r="504" spans="14:68">
      <c r="N504" s="7">
        <v>86</v>
      </c>
      <c r="O504" s="18">
        <f t="shared" si="475"/>
        <v>724435.960074992</v>
      </c>
      <c r="P504" s="86" t="str">
        <f t="shared" si="425"/>
        <v>96,0576923076923</v>
      </c>
      <c r="Q504" s="4" t="str">
        <f t="shared" si="426"/>
        <v>1+6075,90651115123i</v>
      </c>
      <c r="R504" s="4">
        <f t="shared" si="437"/>
        <v>6075.90659344348</v>
      </c>
      <c r="S504" s="4">
        <f t="shared" si="438"/>
        <v>1.57063174230217</v>
      </c>
      <c r="T504" s="4" t="str">
        <f t="shared" si="427"/>
        <v>1+71,3716811636643i</v>
      </c>
      <c r="U504" s="4">
        <f t="shared" si="439"/>
        <v>71.3786863995672</v>
      </c>
      <c r="V504" s="4">
        <f t="shared" si="440"/>
        <v>1.5567860841626</v>
      </c>
      <c r="W504" t="str">
        <f t="shared" si="428"/>
        <v>1-33,8853644980549i</v>
      </c>
      <c r="X504" s="4">
        <f t="shared" si="441"/>
        <v>33.9001169196515</v>
      </c>
      <c r="Y504" s="4">
        <f t="shared" si="442"/>
        <v>-1.54129362374077</v>
      </c>
      <c r="Z504" t="str">
        <f t="shared" si="429"/>
        <v>-3,28414253265126+58,0859611968216i</v>
      </c>
      <c r="AA504" s="4">
        <f t="shared" si="443"/>
        <v>58.1787287617513</v>
      </c>
      <c r="AB504" s="4">
        <f t="shared" si="444"/>
        <v>1.62727554640319</v>
      </c>
      <c r="AC504" s="67" t="str">
        <f t="shared" si="445"/>
        <v>-0,65699885781324+0,0268350302151132i</v>
      </c>
      <c r="AD504" s="68">
        <f t="shared" si="446"/>
        <v>-3.64146839797855</v>
      </c>
      <c r="AE504" s="31">
        <f t="shared" si="447"/>
        <v>177.661061679503</v>
      </c>
      <c r="AF504" s="32" t="str">
        <f t="shared" si="448"/>
        <v>236,914774604583</v>
      </c>
      <c r="AG504" s="32" t="str">
        <f t="shared" si="430"/>
        <v>1+1500,42738809976i</v>
      </c>
      <c r="AH504" s="32">
        <f t="shared" si="449"/>
        <v>1500.42772133811</v>
      </c>
      <c r="AI504" s="32">
        <f t="shared" si="450"/>
        <v>1.57012985012307</v>
      </c>
      <c r="AJ504" s="32" t="str">
        <f t="shared" si="431"/>
        <v>1+71,3716811636643i</v>
      </c>
      <c r="AK504" s="32">
        <f t="shared" si="451"/>
        <v>71.3786863995672</v>
      </c>
      <c r="AL504" s="32">
        <f t="shared" si="452"/>
        <v>1.5567860841626</v>
      </c>
      <c r="AM504" s="32" t="str">
        <f t="shared" si="432"/>
        <v>1-3,39268560268697i</v>
      </c>
      <c r="AN504" s="32">
        <f t="shared" si="453"/>
        <v>3.53699245103512</v>
      </c>
      <c r="AO504" s="32">
        <f t="shared" si="454"/>
        <v>-1.2841613733094</v>
      </c>
      <c r="AP504" s="30" t="str">
        <f t="shared" si="455"/>
        <v>10,7593429710205-38,3844605028439i</v>
      </c>
      <c r="AQ504" s="32">
        <f t="shared" si="456"/>
        <v>32.0115950004117</v>
      </c>
      <c r="AR504" s="31">
        <f t="shared" si="457"/>
        <v>-74.3415683766972</v>
      </c>
      <c r="AS504" t="str">
        <f t="shared" si="433"/>
        <v>-0,000272527472527473</v>
      </c>
      <c r="AT504" t="str">
        <f t="shared" si="434"/>
        <v>1,02278168096144i</v>
      </c>
      <c r="AU504">
        <f t="shared" si="458"/>
        <v>1.02278168096144</v>
      </c>
      <c r="AV504">
        <f t="shared" si="459"/>
        <v>1.5707963267949</v>
      </c>
      <c r="AW504" t="str">
        <f t="shared" si="435"/>
        <v>1+52,3645460977653i</v>
      </c>
      <c r="AX504">
        <f t="shared" si="460"/>
        <v>52.3740936725877</v>
      </c>
      <c r="AY504">
        <f t="shared" si="461"/>
        <v>1.5517017573321</v>
      </c>
      <c r="AZ504" t="str">
        <f t="shared" si="436"/>
        <v>1+2503,47095918465i</v>
      </c>
      <c r="BA504">
        <f t="shared" si="462"/>
        <v>2503.47115890735</v>
      </c>
      <c r="BB504">
        <f t="shared" si="463"/>
        <v>1.57039688139964</v>
      </c>
      <c r="BC504" s="30" t="str">
        <f t="shared" si="464"/>
        <v>-0,000238098397663353+0,0127343716514219i</v>
      </c>
      <c r="BD504" s="32">
        <f t="shared" si="465"/>
        <v>-37.8989316079582</v>
      </c>
      <c r="BE504" s="31">
        <f t="shared" si="466"/>
        <v>91.0711517065431</v>
      </c>
      <c r="BF504" s="30" t="str">
        <f t="shared" si="467"/>
        <v>-0,000185296872724402-0,00837285700764896i</v>
      </c>
      <c r="BG504" s="68">
        <f t="shared" si="468"/>
        <v>-41.5404000059368</v>
      </c>
      <c r="BH504" s="31">
        <f t="shared" si="469"/>
        <v>-91.267786613954</v>
      </c>
      <c r="BI504" s="30" t="str">
        <f t="shared" si="476"/>
        <v>0,486240203361229+0,146152750658988i</v>
      </c>
      <c r="BJ504" s="68">
        <f t="shared" si="470"/>
        <v>-5.88733660754654</v>
      </c>
      <c r="BK504" s="31">
        <f t="shared" si="477"/>
        <v>16.7295833298459</v>
      </c>
      <c r="BL504" s="32">
        <f t="shared" si="471"/>
        <v>-41.5404000059368</v>
      </c>
      <c r="BM504" s="31">
        <f t="shared" si="472"/>
        <v>-91.267786613954</v>
      </c>
      <c r="BO504">
        <f t="shared" si="473"/>
        <v>0</v>
      </c>
      <c r="BP504">
        <f t="shared" si="474"/>
        <v>0</v>
      </c>
    </row>
    <row r="505" spans="14:68">
      <c r="N505" s="7">
        <v>87</v>
      </c>
      <c r="O505" s="18">
        <f t="shared" si="475"/>
        <v>741310.241300918</v>
      </c>
      <c r="P505" s="86" t="str">
        <f t="shared" si="425"/>
        <v>96,0576923076923</v>
      </c>
      <c r="Q505" s="4" t="str">
        <f t="shared" si="426"/>
        <v>1+6217,43255461404i</v>
      </c>
      <c r="R505" s="4">
        <f t="shared" si="437"/>
        <v>6217.43263503309</v>
      </c>
      <c r="S505" s="4">
        <f t="shared" si="438"/>
        <v>1.57063548870255</v>
      </c>
      <c r="T505" s="4" t="str">
        <f t="shared" si="427"/>
        <v>1+73,0341411820737i</v>
      </c>
      <c r="U505" s="4">
        <f t="shared" si="439"/>
        <v>73.0409869744589</v>
      </c>
      <c r="V505" s="4">
        <f t="shared" si="440"/>
        <v>1.55710495590329</v>
      </c>
      <c r="W505" t="str">
        <f t="shared" si="428"/>
        <v>1-34,6746560317386i</v>
      </c>
      <c r="X505" s="4">
        <f t="shared" si="441"/>
        <v>34.6890727884068</v>
      </c>
      <c r="Y505" s="4">
        <f t="shared" si="442"/>
        <v>-1.54196481082281</v>
      </c>
      <c r="Z505" t="str">
        <f t="shared" si="429"/>
        <v>-3,48604794985818+59,4389570425992i</v>
      </c>
      <c r="AA505" s="4">
        <f t="shared" si="443"/>
        <v>59.5410962665339</v>
      </c>
      <c r="AB505" s="4">
        <f t="shared" si="444"/>
        <v>1.6293784307025</v>
      </c>
      <c r="AC505" s="67" t="str">
        <f t="shared" si="445"/>
        <v>-0,656835563801796+0,0284463439810367i</v>
      </c>
      <c r="AD505" s="68">
        <f t="shared" si="446"/>
        <v>-3.64272882883139</v>
      </c>
      <c r="AE505" s="31">
        <f t="shared" si="447"/>
        <v>177.520174449301</v>
      </c>
      <c r="AF505" s="32" t="str">
        <f t="shared" si="448"/>
        <v>236,914774604583</v>
      </c>
      <c r="AG505" s="32" t="str">
        <f t="shared" si="430"/>
        <v>1+1535,37683166859i</v>
      </c>
      <c r="AH505" s="32">
        <f t="shared" si="449"/>
        <v>1535.37715732151</v>
      </c>
      <c r="AI505" s="32">
        <f t="shared" si="450"/>
        <v>1.57014502097995</v>
      </c>
      <c r="AJ505" s="32" t="str">
        <f t="shared" si="431"/>
        <v>1+73,0341411820737i</v>
      </c>
      <c r="AK505" s="32">
        <f t="shared" si="451"/>
        <v>73.0409869744589</v>
      </c>
      <c r="AL505" s="32">
        <f t="shared" si="452"/>
        <v>1.55710495590329</v>
      </c>
      <c r="AM505" s="32" t="str">
        <f t="shared" si="432"/>
        <v>1-3,47171140224137i</v>
      </c>
      <c r="AN505" s="32">
        <f t="shared" si="453"/>
        <v>3.6128631389042</v>
      </c>
      <c r="AO505" s="32">
        <f t="shared" si="454"/>
        <v>-1.29034560887134</v>
      </c>
      <c r="AP505" s="30" t="str">
        <f t="shared" si="455"/>
        <v>10,7593384497454-39,2716075840002i</v>
      </c>
      <c r="AQ505" s="32">
        <f t="shared" si="456"/>
        <v>32.1959042663518</v>
      </c>
      <c r="AR505" s="31">
        <f t="shared" si="457"/>
        <v>-74.6784981950346</v>
      </c>
      <c r="AS505" t="str">
        <f t="shared" si="433"/>
        <v>-0,000272527472527473</v>
      </c>
      <c r="AT505" t="str">
        <f t="shared" si="434"/>
        <v>1,04660532676097i</v>
      </c>
      <c r="AU505">
        <f t="shared" si="458"/>
        <v>1.04660532676097</v>
      </c>
      <c r="AV505">
        <f t="shared" si="459"/>
        <v>1.5707963267949</v>
      </c>
      <c r="AW505" t="str">
        <f t="shared" si="435"/>
        <v>1+53,5842730658056i</v>
      </c>
      <c r="AX505">
        <f t="shared" si="460"/>
        <v>53.5936033495679</v>
      </c>
      <c r="AY505">
        <f t="shared" si="461"/>
        <v>1.5521363007355</v>
      </c>
      <c r="AZ505" t="str">
        <f t="shared" si="436"/>
        <v>1+2561,78428891202i</v>
      </c>
      <c r="BA505">
        <f t="shared" si="462"/>
        <v>2561.78448408848</v>
      </c>
      <c r="BB505">
        <f t="shared" si="463"/>
        <v>1.57040597388597</v>
      </c>
      <c r="BC505" s="30" t="str">
        <f t="shared" si="464"/>
        <v>-0,000227385935420752+0,0124447018812827i</v>
      </c>
      <c r="BD505" s="32">
        <f t="shared" si="465"/>
        <v>-38.0988603802822</v>
      </c>
      <c r="BE505" s="31">
        <f t="shared" si="466"/>
        <v>91.0467751646054</v>
      </c>
      <c r="BF505" s="30" t="str">
        <f t="shared" si="467"/>
        <v>-0,000204651101363734-0,00818059107507302i</v>
      </c>
      <c r="BG505" s="68">
        <f t="shared" si="468"/>
        <v>-41.7415892091136</v>
      </c>
      <c r="BH505" s="31">
        <f t="shared" si="469"/>
        <v>-91.4330503860933</v>
      </c>
      <c r="BI505" s="30" t="str">
        <f t="shared" si="476"/>
        <v>0,486276926543699+0,142826570672868i</v>
      </c>
      <c r="BJ505" s="68">
        <f t="shared" si="470"/>
        <v>-5.90295611393042</v>
      </c>
      <c r="BK505" s="31">
        <f t="shared" si="477"/>
        <v>16.3682769695707</v>
      </c>
      <c r="BL505" s="32">
        <f t="shared" si="471"/>
        <v>-41.7415892091136</v>
      </c>
      <c r="BM505" s="31">
        <f t="shared" si="472"/>
        <v>-91.4330503860933</v>
      </c>
      <c r="BO505">
        <f t="shared" si="473"/>
        <v>0</v>
      </c>
      <c r="BP505">
        <f t="shared" si="474"/>
        <v>0</v>
      </c>
    </row>
    <row r="506" spans="14:68">
      <c r="N506" s="7">
        <v>88</v>
      </c>
      <c r="O506" s="18">
        <f t="shared" si="475"/>
        <v>758577.575029184</v>
      </c>
      <c r="P506" s="86" t="str">
        <f t="shared" si="425"/>
        <v>96,0576923076923</v>
      </c>
      <c r="Q506" s="4" t="str">
        <f t="shared" si="426"/>
        <v>1+6362,25516311477i</v>
      </c>
      <c r="R506" s="4">
        <f t="shared" si="437"/>
        <v>6362.25524170325</v>
      </c>
      <c r="S506" s="4">
        <f t="shared" si="438"/>
        <v>1.57063914982445</v>
      </c>
      <c r="T506" s="4" t="str">
        <f t="shared" si="427"/>
        <v>1+74,7353248688593i</v>
      </c>
      <c r="U506" s="4">
        <f t="shared" si="439"/>
        <v>74.7420148460954</v>
      </c>
      <c r="V506" s="4">
        <f t="shared" si="440"/>
        <v>1.55741657192758</v>
      </c>
      <c r="W506" t="str">
        <f t="shared" si="428"/>
        <v>1-35,4823325270237i</v>
      </c>
      <c r="X506" s="4">
        <f t="shared" si="441"/>
        <v>35.4964212500117</v>
      </c>
      <c r="Y506" s="4">
        <f t="shared" si="442"/>
        <v>-1.54262074493046</v>
      </c>
      <c r="Z506" t="str">
        <f t="shared" si="429"/>
        <v>-3,69746887622172+60,8234682101686i</v>
      </c>
      <c r="AA506" s="4">
        <f t="shared" si="443"/>
        <v>60.9357494514018</v>
      </c>
      <c r="AB506" s="4">
        <f t="shared" si="444"/>
        <v>1.63151177857637</v>
      </c>
      <c r="AC506" s="67" t="str">
        <f t="shared" si="445"/>
        <v>-0,656664238715484+0,0300715578553123i</v>
      </c>
      <c r="AD506" s="68">
        <f t="shared" si="446"/>
        <v>-3.64403450796733</v>
      </c>
      <c r="AE506" s="31">
        <f t="shared" si="447"/>
        <v>177.378004880076</v>
      </c>
      <c r="AF506" s="32" t="str">
        <f t="shared" si="448"/>
        <v>236,914774604583</v>
      </c>
      <c r="AG506" s="32" t="str">
        <f t="shared" si="430"/>
        <v>1+1571,1403523567i</v>
      </c>
      <c r="AH506" s="32">
        <f t="shared" si="449"/>
        <v>1571.14067059686</v>
      </c>
      <c r="AI506" s="32">
        <f t="shared" si="450"/>
        <v>1.57015984650626</v>
      </c>
      <c r="AJ506" s="32" t="str">
        <f t="shared" si="431"/>
        <v>1+74,7353248688593i</v>
      </c>
      <c r="AK506" s="32">
        <f t="shared" si="451"/>
        <v>74.7420148460954</v>
      </c>
      <c r="AL506" s="32">
        <f t="shared" si="452"/>
        <v>1.55741657192758</v>
      </c>
      <c r="AM506" s="32" t="str">
        <f t="shared" si="432"/>
        <v>1-3,55257794913479i</v>
      </c>
      <c r="AN506" s="32">
        <f t="shared" si="453"/>
        <v>3.69063816767219</v>
      </c>
      <c r="AO506" s="32">
        <f t="shared" si="454"/>
        <v>-1.29641043817527</v>
      </c>
      <c r="AP506" s="30" t="str">
        <f t="shared" si="455"/>
        <v>10,759334131961-40,1795769910535i</v>
      </c>
      <c r="AQ506" s="32">
        <f t="shared" si="456"/>
        <v>32.3808668847249</v>
      </c>
      <c r="AR506" s="31">
        <f t="shared" si="457"/>
        <v>-75.0089824746829</v>
      </c>
      <c r="AS506" t="str">
        <f t="shared" si="433"/>
        <v>-0,000272527472527473</v>
      </c>
      <c r="AT506" t="str">
        <f t="shared" si="434"/>
        <v>1,07098389655821i</v>
      </c>
      <c r="AU506">
        <f t="shared" si="458"/>
        <v>1.07098389655821</v>
      </c>
      <c r="AV506">
        <f t="shared" si="459"/>
        <v>1.5707963267949</v>
      </c>
      <c r="AW506" t="str">
        <f t="shared" si="435"/>
        <v>1+54,8324111246972i</v>
      </c>
      <c r="AX506">
        <f t="shared" si="460"/>
        <v>54.8415290609937</v>
      </c>
      <c r="AY506">
        <f t="shared" si="461"/>
        <v>1.55256095953381</v>
      </c>
      <c r="AZ506" t="str">
        <f t="shared" si="436"/>
        <v>1+2621,45591057861i</v>
      </c>
      <c r="BA506">
        <f t="shared" si="462"/>
        <v>2621.45610131231</v>
      </c>
      <c r="BB506">
        <f t="shared" si="463"/>
        <v>1.57041485940212</v>
      </c>
      <c r="BC506" s="30" t="str">
        <f t="shared" si="464"/>
        <v>-0,000217155285230663+0,0121616124624334i</v>
      </c>
      <c r="BD506" s="32">
        <f t="shared" si="465"/>
        <v>-38.2987923572881</v>
      </c>
      <c r="BE506" s="31">
        <f t="shared" si="466"/>
        <v>91.0229531103031</v>
      </c>
      <c r="BF506" s="30" t="str">
        <f t="shared" si="467"/>
        <v>-0,000223120522718916-0,00799262618691997i</v>
      </c>
      <c r="BG506" s="68">
        <f t="shared" si="468"/>
        <v>-41.9428268652555</v>
      </c>
      <c r="BH506" s="31">
        <f t="shared" si="469"/>
        <v>-91.5990420096214</v>
      </c>
      <c r="BI506" s="30" t="str">
        <f t="shared" si="476"/>
        <v>0,486311997997381+0,139576059568682i</v>
      </c>
      <c r="BJ506" s="68">
        <f t="shared" si="470"/>
        <v>-5.91792547256318</v>
      </c>
      <c r="BK506" s="31">
        <f t="shared" si="477"/>
        <v>16.0139706356202</v>
      </c>
      <c r="BL506" s="32">
        <f t="shared" si="471"/>
        <v>-41.9428268652555</v>
      </c>
      <c r="BM506" s="31">
        <f t="shared" si="472"/>
        <v>-91.5990420096214</v>
      </c>
      <c r="BO506">
        <f t="shared" si="473"/>
        <v>0</v>
      </c>
      <c r="BP506">
        <f t="shared" si="474"/>
        <v>0</v>
      </c>
    </row>
    <row r="507" spans="14:68">
      <c r="N507" s="7">
        <v>89</v>
      </c>
      <c r="O507" s="18">
        <f t="shared" si="475"/>
        <v>776247.116628692</v>
      </c>
      <c r="P507" s="86" t="str">
        <f t="shared" si="425"/>
        <v>96,0576923076923</v>
      </c>
      <c r="Q507" s="4" t="str">
        <f t="shared" si="426"/>
        <v>1+6510,4511235174i</v>
      </c>
      <c r="R507" s="4">
        <f t="shared" si="437"/>
        <v>6510.45120031699</v>
      </c>
      <c r="S507" s="4">
        <f t="shared" si="438"/>
        <v>1.57064272760904</v>
      </c>
      <c r="T507" s="4" t="str">
        <f t="shared" si="427"/>
        <v>1+76,4761342141293i</v>
      </c>
      <c r="U507" s="4">
        <f t="shared" si="439"/>
        <v>76.4826719220603</v>
      </c>
      <c r="V507" s="4">
        <f t="shared" si="440"/>
        <v>1.5577210972162</v>
      </c>
      <c r="W507" t="str">
        <f t="shared" si="428"/>
        <v>1-36,3088222246788i</v>
      </c>
      <c r="X507" s="4">
        <f t="shared" si="441"/>
        <v>36.3225903721545</v>
      </c>
      <c r="Y507" s="4">
        <f t="shared" si="442"/>
        <v>-1.54326177158966</v>
      </c>
      <c r="Z507" t="str">
        <f t="shared" si="429"/>
        <v>-3,91885376387234+62,2402287856767i</v>
      </c>
      <c r="AA507" s="4">
        <f t="shared" si="443"/>
        <v>62.36347884873</v>
      </c>
      <c r="AB507" s="4">
        <f t="shared" si="444"/>
        <v>1.63367667780374</v>
      </c>
      <c r="AC507" s="67" t="str">
        <f t="shared" si="445"/>
        <v>-0,656484532067581+0,0317114490503829i</v>
      </c>
      <c r="AD507" s="68">
        <f t="shared" si="446"/>
        <v>-3.64538816128665</v>
      </c>
      <c r="AE507" s="31">
        <f t="shared" si="447"/>
        <v>177.234480190984</v>
      </c>
      <c r="AF507" s="32" t="str">
        <f t="shared" si="448"/>
        <v>236,914774604583</v>
      </c>
      <c r="AG507" s="32" t="str">
        <f t="shared" si="430"/>
        <v>1+1607,73691245613i</v>
      </c>
      <c r="AH507" s="32">
        <f t="shared" si="449"/>
        <v>1607.73722345226</v>
      </c>
      <c r="AI507" s="32">
        <f t="shared" si="450"/>
        <v>1.57017433456265</v>
      </c>
      <c r="AJ507" s="32" t="str">
        <f t="shared" si="431"/>
        <v>1+76,4761342141293i</v>
      </c>
      <c r="AK507" s="32">
        <f t="shared" si="451"/>
        <v>76.4826719220603</v>
      </c>
      <c r="AL507" s="32">
        <f t="shared" si="452"/>
        <v>1.5577210972162</v>
      </c>
      <c r="AM507" s="32" t="str">
        <f t="shared" si="432"/>
        <v>1-3,63532811988076i</v>
      </c>
      <c r="AN507" s="32">
        <f t="shared" si="453"/>
        <v>3.77035947081917</v>
      </c>
      <c r="AO507" s="32">
        <f t="shared" si="454"/>
        <v>-1.30235729155723</v>
      </c>
      <c r="AP507" s="30" t="str">
        <f t="shared" si="455"/>
        <v>10,7593300085087-41,1088501414195i</v>
      </c>
      <c r="AQ507" s="32">
        <f t="shared" si="456"/>
        <v>32.5664577654882</v>
      </c>
      <c r="AR507" s="31">
        <f t="shared" si="457"/>
        <v>-75.3330941655446</v>
      </c>
      <c r="AS507" t="str">
        <f t="shared" si="433"/>
        <v>-0,000272527472527473</v>
      </c>
      <c r="AT507" t="str">
        <f t="shared" si="434"/>
        <v>1,09593031619355i</v>
      </c>
      <c r="AU507">
        <f t="shared" si="458"/>
        <v>1.09593031619355</v>
      </c>
      <c r="AV507">
        <f t="shared" si="459"/>
        <v>1.5707963267949</v>
      </c>
      <c r="AW507" t="str">
        <f t="shared" si="435"/>
        <v>1+56,10962205376i</v>
      </c>
      <c r="AX507">
        <f t="shared" si="460"/>
        <v>56.1185324738254</v>
      </c>
      <c r="AY507">
        <f t="shared" si="461"/>
        <v>1.55297595827374</v>
      </c>
      <c r="AZ507" t="str">
        <f t="shared" si="436"/>
        <v>1+2682,51746286805i</v>
      </c>
      <c r="BA507">
        <f t="shared" si="462"/>
        <v>2682.51764926012</v>
      </c>
      <c r="BB507">
        <f t="shared" si="463"/>
        <v>1.57042354265928</v>
      </c>
      <c r="BC507" s="30" t="str">
        <f t="shared" si="464"/>
        <v>-0,00020738479083993+0,0118849544973738i</v>
      </c>
      <c r="BD507" s="32">
        <f t="shared" si="465"/>
        <v>-38.4987273948377</v>
      </c>
      <c r="BE507" s="31">
        <f t="shared" si="466"/>
        <v>90.9996729479897</v>
      </c>
      <c r="BF507" s="30" t="str">
        <f t="shared" si="467"/>
        <v>-0,000240744221637104-0,00780886526408148i</v>
      </c>
      <c r="BG507" s="68">
        <f t="shared" si="468"/>
        <v>-42.1441155561243</v>
      </c>
      <c r="BH507" s="31">
        <f t="shared" si="469"/>
        <v>-91.7658468610264</v>
      </c>
      <c r="BI507" s="30" t="str">
        <f t="shared" si="476"/>
        <v>0,486345491966737+0,136399497861603i</v>
      </c>
      <c r="BJ507" s="68">
        <f t="shared" si="470"/>
        <v>-5.93226962934945</v>
      </c>
      <c r="BK507" s="31">
        <f t="shared" si="477"/>
        <v>15.6665787824451</v>
      </c>
      <c r="BL507" s="32">
        <f t="shared" si="471"/>
        <v>-42.1441155561243</v>
      </c>
      <c r="BM507" s="31">
        <f t="shared" si="472"/>
        <v>-91.7658468610264</v>
      </c>
      <c r="BO507">
        <f t="shared" si="473"/>
        <v>0</v>
      </c>
      <c r="BP507">
        <f t="shared" si="474"/>
        <v>0</v>
      </c>
    </row>
    <row r="508" spans="14:68">
      <c r="N508" s="7">
        <v>90</v>
      </c>
      <c r="O508" s="18">
        <f t="shared" si="475"/>
        <v>794328.234724283</v>
      </c>
      <c r="P508" s="86" t="str">
        <f t="shared" si="425"/>
        <v>96,0576923076923</v>
      </c>
      <c r="Q508" s="4" t="str">
        <f t="shared" si="426"/>
        <v>1+6662,09901128172i</v>
      </c>
      <c r="R508" s="4">
        <f t="shared" si="437"/>
        <v>6662.09908633314</v>
      </c>
      <c r="S508" s="4">
        <f t="shared" si="438"/>
        <v>1.57064622395332</v>
      </c>
      <c r="T508" s="4" t="str">
        <f t="shared" si="427"/>
        <v>1+78,257492218041i</v>
      </c>
      <c r="U508" s="4">
        <f t="shared" si="439"/>
        <v>78.2638811218607</v>
      </c>
      <c r="V508" s="4">
        <f t="shared" si="440"/>
        <v>1.55801869300643</v>
      </c>
      <c r="W508" t="str">
        <f t="shared" si="428"/>
        <v>1-37,1545633404815i</v>
      </c>
      <c r="X508" s="4">
        <f t="shared" si="441"/>
        <v>37.1680182014303</v>
      </c>
      <c r="Y508" s="4">
        <f t="shared" si="442"/>
        <v>-1.54388822857277</v>
      </c>
      <c r="Z508" t="str">
        <f t="shared" si="429"/>
        <v>-4,15067219983836+63,6899899543339i</v>
      </c>
      <c r="AA508" s="4">
        <f t="shared" si="443"/>
        <v>63.8250961620401</v>
      </c>
      <c r="AB508" s="4">
        <f t="shared" si="444"/>
        <v>1.63587422989223</v>
      </c>
      <c r="AC508" s="67" t="str">
        <f t="shared" si="445"/>
        <v>-0,656296076826416+0,0333667967044247i</v>
      </c>
      <c r="AD508" s="68">
        <f t="shared" si="446"/>
        <v>-3.64679261241972</v>
      </c>
      <c r="AE508" s="31">
        <f t="shared" si="447"/>
        <v>177.089527046886</v>
      </c>
      <c r="AF508" s="32" t="str">
        <f t="shared" si="448"/>
        <v>236,914774604583</v>
      </c>
      <c r="AG508" s="32" t="str">
        <f t="shared" si="430"/>
        <v>1+1645,18591594745i</v>
      </c>
      <c r="AH508" s="32">
        <f t="shared" si="449"/>
        <v>1645.18621986444</v>
      </c>
      <c r="AI508" s="32">
        <f t="shared" si="450"/>
        <v>1.57018849283087</v>
      </c>
      <c r="AJ508" s="32" t="str">
        <f t="shared" si="431"/>
        <v>1+78,257492218041i</v>
      </c>
      <c r="AK508" s="32">
        <f t="shared" si="451"/>
        <v>78.2638811218607</v>
      </c>
      <c r="AL508" s="32">
        <f t="shared" si="452"/>
        <v>1.55801869300643</v>
      </c>
      <c r="AM508" s="32" t="str">
        <f t="shared" si="432"/>
        <v>1-3,72000578971515i</v>
      </c>
      <c r="AN508" s="32">
        <f t="shared" si="453"/>
        <v>3.85206997282166</v>
      </c>
      <c r="AO508" s="32">
        <f t="shared" si="454"/>
        <v>-1.30818763896188</v>
      </c>
      <c r="AP508" s="30" t="str">
        <f t="shared" si="455"/>
        <v>10,7593260706424-42,0599197480398i</v>
      </c>
      <c r="AQ508" s="32">
        <f t="shared" si="456"/>
        <v>32.7526526082703</v>
      </c>
      <c r="AR508" s="31">
        <f t="shared" si="457"/>
        <v>-75.6509086911594</v>
      </c>
      <c r="AS508" t="str">
        <f t="shared" si="433"/>
        <v>-0,000272527472527473</v>
      </c>
      <c r="AT508" t="str">
        <f t="shared" si="434"/>
        <v>1,12145781258889i</v>
      </c>
      <c r="AU508">
        <f t="shared" si="458"/>
        <v>1.12145781258889</v>
      </c>
      <c r="AV508">
        <f t="shared" si="459"/>
        <v>1.5707963267949</v>
      </c>
      <c r="AW508" t="str">
        <f t="shared" si="435"/>
        <v>1+57,4165830471343i</v>
      </c>
      <c r="AX508">
        <f t="shared" si="460"/>
        <v>57.4252906723899</v>
      </c>
      <c r="AY508">
        <f t="shared" si="461"/>
        <v>1.55338151642101</v>
      </c>
      <c r="AZ508" t="str">
        <f t="shared" si="436"/>
        <v>1+2745,00132142363i</v>
      </c>
      <c r="BA508">
        <f t="shared" si="462"/>
        <v>2745.0015035729</v>
      </c>
      <c r="BB508">
        <f t="shared" si="463"/>
        <v>1.57043202826143</v>
      </c>
      <c r="BC508" s="30" t="str">
        <f t="shared" si="464"/>
        <v>-0,000198053768149687+0,0116145824186198i</v>
      </c>
      <c r="BD508" s="32">
        <f t="shared" si="465"/>
        <v>-38.6986653552712</v>
      </c>
      <c r="BE508" s="31">
        <f t="shared" si="466"/>
        <v>90.976922366994</v>
      </c>
      <c r="BF508" s="30" t="str">
        <f t="shared" si="467"/>
        <v>-0,000257559499331544-0,00762921329513564i</v>
      </c>
      <c r="BG508" s="68">
        <f t="shared" si="468"/>
        <v>-42.3454579676909</v>
      </c>
      <c r="BH508" s="31">
        <f t="shared" si="469"/>
        <v>-91.93355058612</v>
      </c>
      <c r="BI508" s="30" t="str">
        <f t="shared" si="476"/>
        <v>0,486377479363101+0,133295205010454i</v>
      </c>
      <c r="BJ508" s="68">
        <f t="shared" si="470"/>
        <v>-5.94601274700096</v>
      </c>
      <c r="BK508" s="31">
        <f t="shared" si="477"/>
        <v>15.3260136758347</v>
      </c>
      <c r="BL508" s="32">
        <f t="shared" si="471"/>
        <v>-42.3454579676909</v>
      </c>
      <c r="BM508" s="31">
        <f t="shared" si="472"/>
        <v>-91.93355058612</v>
      </c>
      <c r="BO508">
        <f t="shared" si="473"/>
        <v>0</v>
      </c>
      <c r="BP508">
        <f t="shared" si="474"/>
        <v>0</v>
      </c>
    </row>
    <row r="509" spans="14:68">
      <c r="N509" s="7">
        <v>91</v>
      </c>
      <c r="O509" s="18">
        <f t="shared" si="475"/>
        <v>812830.516164101</v>
      </c>
      <c r="P509" s="86" t="str">
        <f t="shared" si="425"/>
        <v>96,0576923076923</v>
      </c>
      <c r="Q509" s="4" t="str">
        <f t="shared" si="426"/>
        <v>1+6817,27923212513i</v>
      </c>
      <c r="R509" s="4">
        <f t="shared" si="437"/>
        <v>6817.27930546817</v>
      </c>
      <c r="S509" s="4">
        <f t="shared" si="438"/>
        <v>1.57064964071108</v>
      </c>
      <c r="T509" s="4" t="str">
        <f t="shared" si="427"/>
        <v>1+80,0803433801871i</v>
      </c>
      <c r="U509" s="4">
        <f t="shared" si="439"/>
        <v>80.0865868662704</v>
      </c>
      <c r="V509" s="4">
        <f t="shared" si="440"/>
        <v>1.55830951687653</v>
      </c>
      <c r="W509" t="str">
        <f t="shared" si="428"/>
        <v>1-38,0200042975662i</v>
      </c>
      <c r="X509" s="4">
        <f t="shared" si="441"/>
        <v>38.0331529956031</v>
      </c>
      <c r="Y509" s="4">
        <f t="shared" si="442"/>
        <v>-1.54450044606761</v>
      </c>
      <c r="Z509" t="str">
        <f t="shared" si="429"/>
        <v>-4,39341590210288+65,1735203987016i</v>
      </c>
      <c r="AA509" s="4">
        <f t="shared" si="443"/>
        <v>65.3214349539936</v>
      </c>
      <c r="AB509" s="4">
        <f t="shared" si="444"/>
        <v>1.63810555044795</v>
      </c>
      <c r="AC509" s="67" t="str">
        <f t="shared" si="445"/>
        <v>-0,656098488753316+0,035038381886261i</v>
      </c>
      <c r="AD509" s="68">
        <f t="shared" si="446"/>
        <v>-3.64825078832001</v>
      </c>
      <c r="AE509" s="31">
        <f t="shared" si="447"/>
        <v>176.943071532242</v>
      </c>
      <c r="AF509" s="32" t="str">
        <f t="shared" si="448"/>
        <v>236,914774604583</v>
      </c>
      <c r="AG509" s="32" t="str">
        <f t="shared" si="430"/>
        <v>1+1683,50721878802i</v>
      </c>
      <c r="AH509" s="32">
        <f t="shared" si="449"/>
        <v>1683.50751578702</v>
      </c>
      <c r="AI509" s="32">
        <f t="shared" si="450"/>
        <v>1.5702023288178</v>
      </c>
      <c r="AJ509" s="32" t="str">
        <f t="shared" si="431"/>
        <v>1+80,0803433801871i</v>
      </c>
      <c r="AK509" s="32">
        <f t="shared" si="451"/>
        <v>80.0865868662704</v>
      </c>
      <c r="AL509" s="32">
        <f t="shared" si="452"/>
        <v>1.55830951687653</v>
      </c>
      <c r="AM509" s="32" t="str">
        <f t="shared" si="432"/>
        <v>1-3,80665585585935i</v>
      </c>
      <c r="AN509" s="32">
        <f t="shared" si="453"/>
        <v>3.9358136141017</v>
      </c>
      <c r="AO509" s="32">
        <f t="shared" si="454"/>
        <v>-1.31390298554969</v>
      </c>
      <c r="AP509" s="30" t="str">
        <f t="shared" si="455"/>
        <v>10,759322310009-43,0332900806238i</v>
      </c>
      <c r="AQ509" s="32">
        <f t="shared" si="456"/>
        <v>32.939427891992</v>
      </c>
      <c r="AR509" s="31">
        <f t="shared" si="457"/>
        <v>-75.9625036924128</v>
      </c>
      <c r="AS509" t="str">
        <f t="shared" si="433"/>
        <v>-0,000272527472527473</v>
      </c>
      <c r="AT509" t="str">
        <f t="shared" si="434"/>
        <v>1,14757992076072i</v>
      </c>
      <c r="AU509">
        <f t="shared" si="458"/>
        <v>1.14757992076072</v>
      </c>
      <c r="AV509">
        <f t="shared" si="459"/>
        <v>1.5707963267949</v>
      </c>
      <c r="AW509" t="str">
        <f t="shared" si="435"/>
        <v>1+58,7539870728385i</v>
      </c>
      <c r="AX509">
        <f t="shared" si="460"/>
        <v>58.7624965173815</v>
      </c>
      <c r="AY509">
        <f t="shared" si="461"/>
        <v>1.55377784847396</v>
      </c>
      <c r="AZ509" t="str">
        <f t="shared" si="436"/>
        <v>1+2808,94061601421i</v>
      </c>
      <c r="BA509">
        <f t="shared" si="462"/>
        <v>2808.94079401726</v>
      </c>
      <c r="BB509">
        <f t="shared" si="463"/>
        <v>1.57044032070774</v>
      </c>
      <c r="BC509" s="30" t="str">
        <f t="shared" si="464"/>
        <v>-0,000189142461684243+0,0113503539168532i</v>
      </c>
      <c r="BD509" s="32">
        <f t="shared" si="465"/>
        <v>-38.8986061071172</v>
      </c>
      <c r="BE509" s="31">
        <f t="shared" si="466"/>
        <v>90.9546893352497</v>
      </c>
      <c r="BF509" s="30" t="str">
        <f t="shared" si="467"/>
        <v>-0,000273601951812807-0,00745357729746607i</v>
      </c>
      <c r="BG509" s="68">
        <f t="shared" si="468"/>
        <v>-42.5468568954372</v>
      </c>
      <c r="BH509" s="31">
        <f t="shared" si="469"/>
        <v>-92.1022391325081</v>
      </c>
      <c r="BI509" s="30" t="str">
        <f t="shared" si="476"/>
        <v>0,486408027913919+0,130261538544318i</v>
      </c>
      <c r="BJ509" s="68">
        <f t="shared" si="470"/>
        <v>-5.95917821512514</v>
      </c>
      <c r="BK509" s="31">
        <f t="shared" si="477"/>
        <v>14.9921856428369</v>
      </c>
      <c r="BL509" s="32">
        <f t="shared" si="471"/>
        <v>-42.5468568954372</v>
      </c>
      <c r="BM509" s="31">
        <f t="shared" si="472"/>
        <v>-92.1022391325081</v>
      </c>
      <c r="BO509">
        <f t="shared" si="473"/>
        <v>0</v>
      </c>
      <c r="BP509">
        <f t="shared" si="474"/>
        <v>0</v>
      </c>
    </row>
    <row r="510" spans="14:68">
      <c r="N510" s="7">
        <v>92</v>
      </c>
      <c r="O510" s="18">
        <f t="shared" si="475"/>
        <v>831763.771102671</v>
      </c>
      <c r="P510" s="86" t="str">
        <f t="shared" si="425"/>
        <v>96,0576923076923</v>
      </c>
      <c r="Q510" s="4" t="str">
        <f t="shared" si="426"/>
        <v>1+6976,07406465475i</v>
      </c>
      <c r="R510" s="4">
        <f t="shared" si="437"/>
        <v>6976.0741363283</v>
      </c>
      <c r="S510" s="4">
        <f t="shared" si="438"/>
        <v>1.57065297969395</v>
      </c>
      <c r="T510" s="4" t="str">
        <f t="shared" si="427"/>
        <v>1+81,9456542003818i</v>
      </c>
      <c r="U510" s="4">
        <f t="shared" si="439"/>
        <v>81.951755578075</v>
      </c>
      <c r="V510" s="4">
        <f t="shared" si="440"/>
        <v>1.55859372282828</v>
      </c>
      <c r="W510" t="str">
        <f t="shared" si="428"/>
        <v>1-38,9056039641836i</v>
      </c>
      <c r="X510" s="4">
        <f t="shared" si="441"/>
        <v>38.918453461281</v>
      </c>
      <c r="Y510" s="4">
        <f t="shared" si="442"/>
        <v>-1.54509874684325</v>
      </c>
      <c r="Z510" t="str">
        <f t="shared" si="429"/>
        <v>-4,64759976260361+66,691606706258i</v>
      </c>
      <c r="AA510" s="4">
        <f t="shared" si="443"/>
        <v>66.853351364128</v>
      </c>
      <c r="AB510" s="4">
        <f t="shared" si="444"/>
        <v>1.64037176953842</v>
      </c>
      <c r="AC510" s="67" t="str">
        <f t="shared" si="445"/>
        <v>-0,655891365714974+0,0367269875741626i</v>
      </c>
      <c r="AD510" s="68">
        <f t="shared" si="446"/>
        <v>-3.64976572503991</v>
      </c>
      <c r="AE510" s="31">
        <f t="shared" si="447"/>
        <v>176.795039125504</v>
      </c>
      <c r="AF510" s="32" t="str">
        <f t="shared" si="448"/>
        <v>236,914774604583</v>
      </c>
      <c r="AG510" s="32" t="str">
        <f t="shared" si="430"/>
        <v>1+1722,72113943984i</v>
      </c>
      <c r="AH510" s="32">
        <f t="shared" si="449"/>
        <v>1722.72142967832</v>
      </c>
      <c r="AI510" s="32">
        <f t="shared" si="450"/>
        <v>1.57021584985943</v>
      </c>
      <c r="AJ510" s="32" t="str">
        <f t="shared" si="431"/>
        <v>1+81,9456542003818i</v>
      </c>
      <c r="AK510" s="32">
        <f t="shared" si="451"/>
        <v>81.951755578075</v>
      </c>
      <c r="AL510" s="32">
        <f t="shared" si="452"/>
        <v>1.55859372282828</v>
      </c>
      <c r="AM510" s="32" t="str">
        <f t="shared" si="432"/>
        <v>1-3,89532426132537i</v>
      </c>
      <c r="AN510" s="32">
        <f t="shared" si="453"/>
        <v>4.02163537641965</v>
      </c>
      <c r="AO510" s="32">
        <f t="shared" si="454"/>
        <v>-1.31950486751623</v>
      </c>
      <c r="AP510" s="30" t="str">
        <f t="shared" si="455"/>
        <v>10,7593187186319-44,0294772330203i</v>
      </c>
      <c r="AQ510" s="32">
        <f t="shared" si="456"/>
        <v>33.1267608632781</v>
      </c>
      <c r="AR510" s="31">
        <f t="shared" si="457"/>
        <v>-76.2679587834987</v>
      </c>
      <c r="AS510" t="str">
        <f t="shared" si="433"/>
        <v>-0,000272527472527473</v>
      </c>
      <c r="AT510" t="str">
        <f t="shared" si="434"/>
        <v>1,17431049099654i</v>
      </c>
      <c r="AU510">
        <f t="shared" si="458"/>
        <v>1.17431049099654</v>
      </c>
      <c r="AV510">
        <f t="shared" si="459"/>
        <v>1.5707963267949</v>
      </c>
      <c r="AW510" t="str">
        <f t="shared" si="435"/>
        <v>1+60,1225432401895i</v>
      </c>
      <c r="AX510">
        <f t="shared" si="460"/>
        <v>60.1308590132259</v>
      </c>
      <c r="AY510">
        <f t="shared" si="461"/>
        <v>1.55416516407477</v>
      </c>
      <c r="AZ510" t="str">
        <f t="shared" si="436"/>
        <v>1+2874,36924810012i</v>
      </c>
      <c r="BA510">
        <f t="shared" si="462"/>
        <v>2874.36942205132</v>
      </c>
      <c r="BB510">
        <f t="shared" si="463"/>
        <v>1.57044842439498</v>
      </c>
      <c r="BC510" s="30" t="str">
        <f t="shared" si="464"/>
        <v>-0,000180632002999629+0,0110921298704449i</v>
      </c>
      <c r="BD510" s="32">
        <f t="shared" si="465"/>
        <v>-39.098549524814</v>
      </c>
      <c r="BE510" s="31">
        <f t="shared" si="466"/>
        <v>90.9329620930609</v>
      </c>
      <c r="BF510" s="30" t="str">
        <f t="shared" si="467"/>
        <v>-0,00028890554478357-0,00728186627874363i</v>
      </c>
      <c r="BG510" s="68">
        <f t="shared" si="468"/>
        <v>-42.748315249854</v>
      </c>
      <c r="BH510" s="31">
        <f t="shared" si="469"/>
        <v>-92.271998781435</v>
      </c>
      <c r="BI510" s="30" t="str">
        <f t="shared" si="476"/>
        <v>0,4864372023054+0,127296893208201i</v>
      </c>
      <c r="BJ510" s="68">
        <f t="shared" si="470"/>
        <v>-5.97178866153592</v>
      </c>
      <c r="BK510" s="31">
        <f t="shared" si="477"/>
        <v>14.6650033095623</v>
      </c>
      <c r="BL510" s="32">
        <f t="shared" si="471"/>
        <v>-42.748315249854</v>
      </c>
      <c r="BM510" s="31">
        <f t="shared" si="472"/>
        <v>-92.271998781435</v>
      </c>
      <c r="BO510">
        <f t="shared" si="473"/>
        <v>0</v>
      </c>
      <c r="BP510">
        <f t="shared" si="474"/>
        <v>0</v>
      </c>
    </row>
    <row r="511" spans="14:68">
      <c r="N511" s="7">
        <v>93</v>
      </c>
      <c r="O511" s="18">
        <f t="shared" si="475"/>
        <v>851138.038202377</v>
      </c>
      <c r="P511" s="86" t="str">
        <f t="shared" si="425"/>
        <v>96,0576923076923</v>
      </c>
      <c r="Q511" s="4" t="str">
        <f t="shared" si="426"/>
        <v>1+7138,56770399272i</v>
      </c>
      <c r="R511" s="4">
        <f t="shared" si="437"/>
        <v>7138.56777403478</v>
      </c>
      <c r="S511" s="4">
        <f t="shared" si="438"/>
        <v>1.57065624267229</v>
      </c>
      <c r="T511" s="4" t="str">
        <f t="shared" si="427"/>
        <v>1+83,8544136911126i</v>
      </c>
      <c r="U511" s="4">
        <f t="shared" si="439"/>
        <v>83.8603761944832</v>
      </c>
      <c r="V511" s="4">
        <f t="shared" si="440"/>
        <v>1.55887146136767</v>
      </c>
      <c r="W511" t="str">
        <f t="shared" si="428"/>
        <v>1-39,8118318969994i</v>
      </c>
      <c r="X511" s="4">
        <f t="shared" si="441"/>
        <v>39.8243889971326</v>
      </c>
      <c r="Y511" s="4">
        <f t="shared" si="442"/>
        <v>-1.54568344641232</v>
      </c>
      <c r="Z511" t="str">
        <f t="shared" si="429"/>
        <v>-4,91376293938771+68,2450537864579i</v>
      </c>
      <c r="AA511" s="4">
        <f t="shared" si="443"/>
        <v>68.4217248579794</v>
      </c>
      <c r="AB511" s="4">
        <f t="shared" si="444"/>
        <v>1.64267403204756</v>
      </c>
      <c r="AC511" s="67" t="str">
        <f t="shared" si="445"/>
        <v>-0,655674286969831+0,0384333986067779i</v>
      </c>
      <c r="AD511" s="68">
        <f t="shared" si="446"/>
        <v>-3.65134057369756</v>
      </c>
      <c r="AE511" s="31">
        <f t="shared" si="447"/>
        <v>176.645354674036</v>
      </c>
      <c r="AF511" s="32" t="str">
        <f t="shared" si="448"/>
        <v>236,914774604583</v>
      </c>
      <c r="AG511" s="32" t="str">
        <f t="shared" si="430"/>
        <v>1+1762,84846964271i</v>
      </c>
      <c r="AH511" s="32">
        <f t="shared" si="449"/>
        <v>1762.84875327455</v>
      </c>
      <c r="AI511" s="32">
        <f t="shared" si="450"/>
        <v>1.57022906312479</v>
      </c>
      <c r="AJ511" s="32" t="str">
        <f t="shared" si="431"/>
        <v>1+83,8544136911126i</v>
      </c>
      <c r="AK511" s="32">
        <f t="shared" si="451"/>
        <v>83.8603761944832</v>
      </c>
      <c r="AL511" s="32">
        <f t="shared" si="452"/>
        <v>1.55887146136767</v>
      </c>
      <c r="AM511" s="32" t="str">
        <f t="shared" si="432"/>
        <v>1-3,98605801927545i</v>
      </c>
      <c r="AN511" s="32">
        <f t="shared" si="453"/>
        <v>4.109581308726</v>
      </c>
      <c r="AO511" s="32">
        <f t="shared" si="454"/>
        <v>-1.32499484812144</v>
      </c>
      <c r="AP511" s="30" t="str">
        <f t="shared" si="455"/>
        <v>10,7593152888932-45,0490093968568i</v>
      </c>
      <c r="AQ511" s="32">
        <f t="shared" si="456"/>
        <v>33.3146295238005</v>
      </c>
      <c r="AR511" s="31">
        <f t="shared" si="457"/>
        <v>-76.5673553200089</v>
      </c>
      <c r="AS511" t="str">
        <f t="shared" si="433"/>
        <v>-0,000272527472527473</v>
      </c>
      <c r="AT511" t="str">
        <f t="shared" si="434"/>
        <v>1,20166369619853i</v>
      </c>
      <c r="AU511">
        <f t="shared" si="458"/>
        <v>1.20166369619853</v>
      </c>
      <c r="AV511">
        <f t="shared" si="459"/>
        <v>1.5707963267949</v>
      </c>
      <c r="AW511" t="str">
        <f t="shared" si="435"/>
        <v>1+61,5229771757826i</v>
      </c>
      <c r="AX511">
        <f t="shared" si="460"/>
        <v>61.5311036840058</v>
      </c>
      <c r="AY511">
        <f t="shared" si="461"/>
        <v>1.55454366811821</v>
      </c>
      <c r="AZ511" t="str">
        <f t="shared" si="436"/>
        <v>1+2941,32190880815i</v>
      </c>
      <c r="BA511">
        <f t="shared" si="462"/>
        <v>2941.32207879974</v>
      </c>
      <c r="BB511">
        <f t="shared" si="463"/>
        <v>1.57045634361982</v>
      </c>
      <c r="BC511" s="30" t="str">
        <f t="shared" si="464"/>
        <v>-0,000172504370946152+0,0108397742763363i</v>
      </c>
      <c r="BD511" s="32">
        <f t="shared" si="465"/>
        <v>-39.2984954884454</v>
      </c>
      <c r="BE511" s="31">
        <f t="shared" si="466"/>
        <v>90.9117291470035</v>
      </c>
      <c r="BF511" s="30" t="str">
        <f t="shared" si="467"/>
        <v>-0,000303502685150633-0,0071139911988007i</v>
      </c>
      <c r="BG511" s="68">
        <f t="shared" si="468"/>
        <v>-42.9498360621429</v>
      </c>
      <c r="BH511" s="31">
        <f t="shared" si="469"/>
        <v>-92.4429161789602</v>
      </c>
      <c r="BI511" s="30" t="str">
        <f t="shared" si="476"/>
        <v>0,486465064318759+0,124399700127288i</v>
      </c>
      <c r="BJ511" s="68">
        <f t="shared" si="470"/>
        <v>-5.98386596464486</v>
      </c>
      <c r="BK511" s="31">
        <f t="shared" si="477"/>
        <v>14.3443738269945</v>
      </c>
      <c r="BL511" s="32">
        <f t="shared" si="471"/>
        <v>-42.9498360621429</v>
      </c>
      <c r="BM511" s="31">
        <f t="shared" si="472"/>
        <v>-92.4429161789602</v>
      </c>
      <c r="BO511">
        <f t="shared" si="473"/>
        <v>0</v>
      </c>
      <c r="BP511">
        <f t="shared" si="474"/>
        <v>0</v>
      </c>
    </row>
    <row r="512" spans="14:68">
      <c r="N512" s="7">
        <v>94</v>
      </c>
      <c r="O512" s="18">
        <f t="shared" si="475"/>
        <v>870963.589956081</v>
      </c>
      <c r="P512" s="86" t="str">
        <f t="shared" si="425"/>
        <v>96,0576923076923</v>
      </c>
      <c r="Q512" s="4" t="str">
        <f t="shared" si="426"/>
        <v>1+7304,84630641746i</v>
      </c>
      <c r="R512" s="4">
        <f t="shared" si="437"/>
        <v>7304.84637486517</v>
      </c>
      <c r="S512" s="4">
        <f t="shared" si="438"/>
        <v>1.57065943137618</v>
      </c>
      <c r="T512" s="4" t="str">
        <f t="shared" si="427"/>
        <v>1+85,8076339019268i</v>
      </c>
      <c r="U512" s="4">
        <f t="shared" si="439"/>
        <v>85.8134606914737</v>
      </c>
      <c r="V512" s="4">
        <f t="shared" si="440"/>
        <v>1.55914287958387</v>
      </c>
      <c r="W512" t="str">
        <f t="shared" si="428"/>
        <v>1-40,7391685900588i</v>
      </c>
      <c r="X512" s="4">
        <f t="shared" si="441"/>
        <v>40.7514399427705</v>
      </c>
      <c r="Y512" s="4">
        <f t="shared" si="442"/>
        <v>-1.54625485319021</v>
      </c>
      <c r="Z512" t="str">
        <f t="shared" si="429"/>
        <v>-5,19247000023827+69,8346852975055i</v>
      </c>
      <c r="AA512" s="4">
        <f t="shared" si="443"/>
        <v>70.0274590093415</v>
      </c>
      <c r="AB512" s="4">
        <f t="shared" si="444"/>
        <v>1.64501349802201</v>
      </c>
      <c r="AC512" s="67" t="str">
        <f t="shared" si="445"/>
        <v>-0,655446812427964+0,0401584016043102i</v>
      </c>
      <c r="AD512" s="68">
        <f t="shared" si="446"/>
        <v>-3.65297860664467</v>
      </c>
      <c r="AE512" s="31">
        <f t="shared" si="447"/>
        <v>176.493942369623</v>
      </c>
      <c r="AF512" s="32" t="str">
        <f t="shared" si="448"/>
        <v>236,914774604583</v>
      </c>
      <c r="AG512" s="32" t="str">
        <f t="shared" si="430"/>
        <v>1+1803,91048543823i</v>
      </c>
      <c r="AH512" s="32">
        <f t="shared" si="449"/>
        <v>1803.91076261382</v>
      </c>
      <c r="AI512" s="32">
        <f t="shared" si="450"/>
        <v>1.57024197561969</v>
      </c>
      <c r="AJ512" s="32" t="str">
        <f t="shared" si="431"/>
        <v>1+85,8076339019268i</v>
      </c>
      <c r="AK512" s="32">
        <f t="shared" si="451"/>
        <v>85.8134606914737</v>
      </c>
      <c r="AL512" s="32">
        <f t="shared" si="452"/>
        <v>1.55914287958387</v>
      </c>
      <c r="AM512" s="32" t="str">
        <f t="shared" si="432"/>
        <v>1-4,07890523794907i</v>
      </c>
      <c r="AN512" s="32">
        <f t="shared" si="453"/>
        <v>4.1996985534879</v>
      </c>
      <c r="AO512" s="32">
        <f t="shared" si="454"/>
        <v>-1.33037451392568</v>
      </c>
      <c r="AP512" s="30" t="str">
        <f t="shared" si="455"/>
        <v>10,7593120135182-46,0924271415948i</v>
      </c>
      <c r="AQ512" s="32">
        <f t="shared" si="456"/>
        <v>33.5030126166913</v>
      </c>
      <c r="AR512" s="31">
        <f t="shared" si="457"/>
        <v>-76.8607761789734</v>
      </c>
      <c r="AS512" t="str">
        <f t="shared" si="433"/>
        <v>-0,000272527472527473</v>
      </c>
      <c r="AT512" t="str">
        <f t="shared" si="434"/>
        <v>1,22965403939815i</v>
      </c>
      <c r="AU512">
        <f t="shared" si="458"/>
        <v>1.22965403939815</v>
      </c>
      <c r="AV512">
        <f t="shared" si="459"/>
        <v>1.5707963267949</v>
      </c>
      <c r="AW512" t="str">
        <f t="shared" si="435"/>
        <v>1+62,956031408227i</v>
      </c>
      <c r="AX512">
        <f t="shared" si="460"/>
        <v>62.9639729581422</v>
      </c>
      <c r="AY512">
        <f t="shared" si="461"/>
        <v>1.55491356085808</v>
      </c>
      <c r="AZ512" t="str">
        <f t="shared" si="436"/>
        <v>1+3009,83409732523i</v>
      </c>
      <c r="BA512">
        <f t="shared" si="462"/>
        <v>3009.83426344734</v>
      </c>
      <c r="BB512">
        <f t="shared" si="463"/>
        <v>1.57046408258114</v>
      </c>
      <c r="BC512" s="30" t="str">
        <f t="shared" si="464"/>
        <v>-0,000164742353703175+0,0105931541822657i</v>
      </c>
      <c r="BD512" s="32">
        <f t="shared" si="465"/>
        <v>-39.4984438834857</v>
      </c>
      <c r="BE512" s="31">
        <f t="shared" si="466"/>
        <v>90.890979263958</v>
      </c>
      <c r="BF512" s="30" t="str">
        <f t="shared" si="467"/>
        <v>-0,000317424289301178-0,00694986493192526i</v>
      </c>
      <c r="BG512" s="68">
        <f t="shared" si="468"/>
        <v>-43.1514224901304</v>
      </c>
      <c r="BH512" s="31">
        <f t="shared" si="469"/>
        <v>-92.6150783664191</v>
      </c>
      <c r="BI512" s="30" t="str">
        <f t="shared" si="476"/>
        <v>0,486491672960428+0,1215684259895i</v>
      </c>
      <c r="BJ512" s="68">
        <f t="shared" si="470"/>
        <v>-5.99543126679442</v>
      </c>
      <c r="BK512" s="31">
        <f t="shared" si="477"/>
        <v>14.0302030849846</v>
      </c>
      <c r="BL512" s="32">
        <f t="shared" si="471"/>
        <v>-43.1514224901304</v>
      </c>
      <c r="BM512" s="31">
        <f t="shared" si="472"/>
        <v>-92.6150783664191</v>
      </c>
      <c r="BO512">
        <f t="shared" si="473"/>
        <v>0</v>
      </c>
      <c r="BP512">
        <f t="shared" si="474"/>
        <v>0</v>
      </c>
    </row>
    <row r="513" spans="14:68">
      <c r="N513" s="7">
        <v>95</v>
      </c>
      <c r="O513" s="18">
        <f t="shared" si="475"/>
        <v>891250.938133747</v>
      </c>
      <c r="P513" s="86" t="str">
        <f t="shared" si="425"/>
        <v>96,0576923076923</v>
      </c>
      <c r="Q513" s="4" t="str">
        <f t="shared" si="426"/>
        <v>1+7474,99803504495i</v>
      </c>
      <c r="R513" s="4">
        <f t="shared" si="437"/>
        <v>7474.9981019346</v>
      </c>
      <c r="S513" s="4">
        <f t="shared" si="438"/>
        <v>1.57066254749631</v>
      </c>
      <c r="T513" s="4" t="str">
        <f t="shared" si="427"/>
        <v>1+87,8063504560343i</v>
      </c>
      <c r="U513" s="4">
        <f t="shared" si="439"/>
        <v>87.812044620359</v>
      </c>
      <c r="V513" s="4">
        <f t="shared" si="440"/>
        <v>1.55940812122635</v>
      </c>
      <c r="W513" t="str">
        <f t="shared" si="428"/>
        <v>1-41,6881057295515i</v>
      </c>
      <c r="X513" s="4">
        <f t="shared" si="441"/>
        <v>41.7000978334376</v>
      </c>
      <c r="Y513" s="4">
        <f t="shared" si="442"/>
        <v>-1.54681326865098</v>
      </c>
      <c r="Z513" t="str">
        <f t="shared" si="429"/>
        <v>-5,48431212019826+71,4613440830693i</v>
      </c>
      <c r="AA513" s="4">
        <f t="shared" si="443"/>
        <v>71.67148231752</v>
      </c>
      <c r="AB513" s="4">
        <f t="shared" si="444"/>
        <v>1.64739134300795</v>
      </c>
      <c r="AC513" s="67" t="str">
        <f t="shared" si="445"/>
        <v>-0,655208481884189+0,0419027848579551i</v>
      </c>
      <c r="AD513" s="68">
        <f t="shared" si="446"/>
        <v>-3.65468322384317</v>
      </c>
      <c r="AE513" s="31">
        <f t="shared" si="447"/>
        <v>176.340725724609</v>
      </c>
      <c r="AF513" s="32" t="str">
        <f t="shared" si="448"/>
        <v>236,914774604583</v>
      </c>
      <c r="AG513" s="32" t="str">
        <f t="shared" si="430"/>
        <v>1+1845,92895845072i</v>
      </c>
      <c r="AH513" s="32">
        <f t="shared" si="449"/>
        <v>1845.92922931703</v>
      </c>
      <c r="AI513" s="32">
        <f t="shared" si="450"/>
        <v>1.57025459419051</v>
      </c>
      <c r="AJ513" s="32" t="str">
        <f t="shared" si="431"/>
        <v>1+87,8063504560343i</v>
      </c>
      <c r="AK513" s="32">
        <f t="shared" si="451"/>
        <v>87.812044620359</v>
      </c>
      <c r="AL513" s="32">
        <f t="shared" si="452"/>
        <v>1.55940812122635</v>
      </c>
      <c r="AM513" s="32" t="str">
        <f t="shared" si="432"/>
        <v>1-4,17391514617055i</v>
      </c>
      <c r="AN513" s="32">
        <f t="shared" si="453"/>
        <v>4.2920353735066</v>
      </c>
      <c r="AO513" s="32">
        <f t="shared" si="454"/>
        <v>-1.33564547122897</v>
      </c>
      <c r="AP513" s="30" t="str">
        <f t="shared" si="455"/>
        <v>10,7593088855592-47,1602837011451i</v>
      </c>
      <c r="AQ513" s="32">
        <f t="shared" si="456"/>
        <v>33.691889612151</v>
      </c>
      <c r="AR513" s="31">
        <f t="shared" si="457"/>
        <v>-77.1483055506313</v>
      </c>
      <c r="AS513" t="str">
        <f t="shared" si="433"/>
        <v>-0,000272527472527473</v>
      </c>
      <c r="AT513" t="str">
        <f t="shared" si="434"/>
        <v>1,25829636144585i</v>
      </c>
      <c r="AU513">
        <f t="shared" si="458"/>
        <v>1.25829636144585</v>
      </c>
      <c r="AV513">
        <f t="shared" si="459"/>
        <v>1.5707963267949</v>
      </c>
      <c r="AW513" t="str">
        <f t="shared" si="435"/>
        <v>1+64,4224657618459i</v>
      </c>
      <c r="AX513">
        <f t="shared" si="460"/>
        <v>64.4302265620431</v>
      </c>
      <c r="AY513">
        <f t="shared" si="461"/>
        <v>1.55527503801129</v>
      </c>
      <c r="AZ513" t="str">
        <f t="shared" si="436"/>
        <v>1+3079,94213972059i</v>
      </c>
      <c r="BA513">
        <f t="shared" si="462"/>
        <v>3079.9423020613</v>
      </c>
      <c r="BB513">
        <f t="shared" si="463"/>
        <v>1.57047164538223</v>
      </c>
      <c r="BC513" s="30" t="str">
        <f t="shared" si="464"/>
        <v>-0,000157329512507687+0,0103521396203231i</v>
      </c>
      <c r="BD513" s="32">
        <f t="shared" si="465"/>
        <v>-39.6983946005588</v>
      </c>
      <c r="BE513" s="31">
        <f t="shared" si="466"/>
        <v>90.8707014652723</v>
      </c>
      <c r="BF513" s="30" t="str">
        <f t="shared" si="467"/>
        <v>-0,000330699848284171-0,00678940222959948i</v>
      </c>
      <c r="BG513" s="68">
        <f t="shared" si="468"/>
        <v>-43.353077824402</v>
      </c>
      <c r="BH513" s="31">
        <f t="shared" si="469"/>
        <v>-92.7885728101186</v>
      </c>
      <c r="BI513" s="30" t="str">
        <f t="shared" si="476"/>
        <v>0,486517084586417+0,118801572245917i</v>
      </c>
      <c r="BJ513" s="68">
        <f t="shared" si="470"/>
        <v>-6.00650498840788</v>
      </c>
      <c r="BK513" s="31">
        <f t="shared" si="477"/>
        <v>13.722395914641</v>
      </c>
      <c r="BL513" s="32">
        <f t="shared" si="471"/>
        <v>-43.353077824402</v>
      </c>
      <c r="BM513" s="31">
        <f t="shared" si="472"/>
        <v>-92.7885728101186</v>
      </c>
      <c r="BO513">
        <f t="shared" si="473"/>
        <v>0</v>
      </c>
      <c r="BP513">
        <f t="shared" si="474"/>
        <v>0</v>
      </c>
    </row>
    <row r="514" spans="14:68">
      <c r="N514" s="7">
        <v>96</v>
      </c>
      <c r="O514" s="18">
        <f t="shared" si="475"/>
        <v>912010.839355911</v>
      </c>
      <c r="P514" s="86" t="str">
        <f t="shared" si="425"/>
        <v>96,0576923076923</v>
      </c>
      <c r="Q514" s="4" t="str">
        <f t="shared" si="426"/>
        <v>1+7649,1131065739i</v>
      </c>
      <c r="R514" s="4">
        <f t="shared" si="437"/>
        <v>7649.11317194095</v>
      </c>
      <c r="S514" s="4">
        <f t="shared" si="438"/>
        <v>1.57066559268489</v>
      </c>
      <c r="T514" s="4" t="str">
        <f t="shared" si="427"/>
        <v>1+89,8516230994079i</v>
      </c>
      <c r="U514" s="4">
        <f t="shared" si="439"/>
        <v>89.8571876568483</v>
      </c>
      <c r="V514" s="4">
        <f t="shared" si="440"/>
        <v>1.55966732678037</v>
      </c>
      <c r="W514" t="str">
        <f t="shared" si="428"/>
        <v>1-42,6591464545092i</v>
      </c>
      <c r="X514" s="4">
        <f t="shared" si="441"/>
        <v>42.6708656606269</v>
      </c>
      <c r="Y514" s="4">
        <f t="shared" si="442"/>
        <v>-1.54735898748005</v>
      </c>
      <c r="Z514" t="str">
        <f t="shared" si="429"/>
        <v>-5,78990833553206+73,1258926191685i</v>
      </c>
      <c r="AA514" s="4">
        <f t="shared" si="443"/>
        <v>73.3547490615572</v>
      </c>
      <c r="AB514" s="4">
        <f t="shared" si="444"/>
        <v>1.64980875837715</v>
      </c>
      <c r="AC514" s="67" t="str">
        <f t="shared" si="445"/>
        <v>-0,654958814223989+0,0436673381854762i</v>
      </c>
      <c r="AD514" s="68">
        <f t="shared" si="446"/>
        <v>-3.65645795946036</v>
      </c>
      <c r="AE514" s="31">
        <f t="shared" si="447"/>
        <v>176.185627548736</v>
      </c>
      <c r="AF514" s="32" t="str">
        <f t="shared" si="448"/>
        <v>236,914774604583</v>
      </c>
      <c r="AG514" s="32" t="str">
        <f t="shared" si="430"/>
        <v>1+1888,92616743073i</v>
      </c>
      <c r="AH514" s="32">
        <f t="shared" si="449"/>
        <v>1888.92643213137</v>
      </c>
      <c r="AI514" s="32">
        <f t="shared" si="450"/>
        <v>1.57026692552775</v>
      </c>
      <c r="AJ514" s="32" t="str">
        <f t="shared" si="431"/>
        <v>1+89,8516230994079i</v>
      </c>
      <c r="AK514" s="32">
        <f t="shared" si="451"/>
        <v>89.8571876568483</v>
      </c>
      <c r="AL514" s="32">
        <f t="shared" si="452"/>
        <v>1.55966732678037</v>
      </c>
      <c r="AM514" s="32" t="str">
        <f t="shared" si="432"/>
        <v>1-4,27113811945082i</v>
      </c>
      <c r="AN514" s="32">
        <f t="shared" si="453"/>
        <v>4.38664117924248</v>
      </c>
      <c r="AO514" s="32">
        <f t="shared" si="454"/>
        <v>-1.34080934270877</v>
      </c>
      <c r="AP514" s="30" t="str">
        <f t="shared" si="455"/>
        <v>10,7593058983815-48,2531452672013i</v>
      </c>
      <c r="AQ514" s="32">
        <f t="shared" si="456"/>
        <v>33.8812406923709</v>
      </c>
      <c r="AR514" s="31">
        <f t="shared" si="457"/>
        <v>-77.4300287416796</v>
      </c>
      <c r="AS514" t="str">
        <f t="shared" si="433"/>
        <v>-0,000272527472527473</v>
      </c>
      <c r="AT514" t="str">
        <f t="shared" si="434"/>
        <v>1,28760584887991i</v>
      </c>
      <c r="AU514">
        <f t="shared" si="458"/>
        <v>1.28760584887991</v>
      </c>
      <c r="AV514">
        <f t="shared" si="459"/>
        <v>1.5707963267949</v>
      </c>
      <c r="AW514" t="str">
        <f t="shared" si="435"/>
        <v>1+65,9230577595437i</v>
      </c>
      <c r="AX514">
        <f t="shared" si="460"/>
        <v>65.9306419229188</v>
      </c>
      <c r="AY514">
        <f t="shared" si="461"/>
        <v>1.55562829085974</v>
      </c>
      <c r="AZ514" t="str">
        <f t="shared" si="436"/>
        <v>1+3151,68320820627i</v>
      </c>
      <c r="BA514">
        <f t="shared" si="462"/>
        <v>3151.68336685165</v>
      </c>
      <c r="BB514">
        <f t="shared" si="463"/>
        <v>1.57047903603298</v>
      </c>
      <c r="BC514" s="30" t="str">
        <f t="shared" si="464"/>
        <v>-0,000150250147001823+0,0101166035418172i</v>
      </c>
      <c r="BD514" s="32">
        <f t="shared" si="465"/>
        <v>-39.8983475352066</v>
      </c>
      <c r="BE514" s="31">
        <f t="shared" si="466"/>
        <v>90.8508850210513</v>
      </c>
      <c r="BF514" s="30" t="str">
        <f t="shared" si="467"/>
        <v>-0,000343357490031624-0,00663251968370435i</v>
      </c>
      <c r="BG514" s="68">
        <f t="shared" si="468"/>
        <v>-43.5548054946669</v>
      </c>
      <c r="BH514" s="31">
        <f t="shared" si="469"/>
        <v>-92.963487430213</v>
      </c>
      <c r="BI514" s="30" t="str">
        <f t="shared" si="476"/>
        <v>0,486541353021119+0,116097674328758i</v>
      </c>
      <c r="BJ514" s="68">
        <f t="shared" si="470"/>
        <v>-6.01710684283571</v>
      </c>
      <c r="BK514" s="31">
        <f t="shared" si="477"/>
        <v>13.4208562793716</v>
      </c>
      <c r="BL514" s="32">
        <f t="shared" si="471"/>
        <v>-43.5548054946669</v>
      </c>
      <c r="BM514" s="31">
        <f t="shared" si="472"/>
        <v>-92.963487430213</v>
      </c>
      <c r="BO514">
        <f t="shared" si="473"/>
        <v>0</v>
      </c>
      <c r="BP514">
        <f t="shared" si="474"/>
        <v>0</v>
      </c>
    </row>
    <row r="515" spans="14:68">
      <c r="N515" s="7">
        <v>97</v>
      </c>
      <c r="O515" s="18">
        <f t="shared" si="475"/>
        <v>933254.300796992</v>
      </c>
      <c r="P515" s="86" t="str">
        <f t="shared" si="425"/>
        <v>96,0576923076923</v>
      </c>
      <c r="Q515" s="4" t="str">
        <f t="shared" si="426"/>
        <v>1+7827,28383911994i</v>
      </c>
      <c r="R515" s="4">
        <f t="shared" si="437"/>
        <v>7827.28390299906</v>
      </c>
      <c r="S515" s="4">
        <f t="shared" si="438"/>
        <v>1.57066856855652</v>
      </c>
      <c r="T515" s="4" t="str">
        <f t="shared" si="427"/>
        <v>1+91,9445362626756i</v>
      </c>
      <c r="U515" s="4">
        <f t="shared" si="439"/>
        <v>91.9499741629027</v>
      </c>
      <c r="V515" s="4">
        <f t="shared" si="440"/>
        <v>1.55992063354075</v>
      </c>
      <c r="W515" t="str">
        <f t="shared" si="428"/>
        <v>1-43,6528056235776i</v>
      </c>
      <c r="X515" s="4">
        <f t="shared" si="441"/>
        <v>43.6642581387781</v>
      </c>
      <c r="Y515" s="4">
        <f t="shared" si="442"/>
        <v>-1.54789229772386</v>
      </c>
      <c r="Z515" t="str">
        <f t="shared" si="429"/>
        <v>-6,10990685678439+74,8292134714701i</v>
      </c>
      <c r="AA515" s="4">
        <f t="shared" si="443"/>
        <v>75.0782401935303</v>
      </c>
      <c r="AB515" s="4">
        <f t="shared" si="444"/>
        <v>1.65226695164146</v>
      </c>
      <c r="AC515" s="67" t="str">
        <f t="shared" si="445"/>
        <v>-0,654697306602026+0,0454528527506684i</v>
      </c>
      <c r="AD515" s="68">
        <f t="shared" si="446"/>
        <v>-3.6583064886914</v>
      </c>
      <c r="AE515" s="31">
        <f t="shared" si="447"/>
        <v>176.028569926729</v>
      </c>
      <c r="AF515" s="32" t="str">
        <f t="shared" si="448"/>
        <v>236,914774604583</v>
      </c>
      <c r="AG515" s="32" t="str">
        <f t="shared" si="430"/>
        <v>1+1932,92491006761i</v>
      </c>
      <c r="AH515" s="32">
        <f t="shared" si="449"/>
        <v>1932.92516874293</v>
      </c>
      <c r="AI515" s="32">
        <f t="shared" si="450"/>
        <v>1.57027897616965</v>
      </c>
      <c r="AJ515" s="32" t="str">
        <f t="shared" si="431"/>
        <v>1+91,9445362626756i</v>
      </c>
      <c r="AK515" s="32">
        <f t="shared" si="451"/>
        <v>91.9499741629027</v>
      </c>
      <c r="AL515" s="32">
        <f t="shared" si="452"/>
        <v>1.55992063354075</v>
      </c>
      <c r="AM515" s="32" t="str">
        <f t="shared" si="432"/>
        <v>1-4,37062570669723i</v>
      </c>
      <c r="AN515" s="32">
        <f t="shared" si="453"/>
        <v>4.48356655666476</v>
      </c>
      <c r="AO515" s="32">
        <f t="shared" si="454"/>
        <v>-1.34586776425166</v>
      </c>
      <c r="AP515" s="30" t="str">
        <f t="shared" si="455"/>
        <v>10,7593030456488-49,3715912894418i</v>
      </c>
      <c r="AQ515" s="32">
        <f t="shared" si="456"/>
        <v>34.0710467358809</v>
      </c>
      <c r="AR515" s="31">
        <f t="shared" si="457"/>
        <v>-77.7060319897147</v>
      </c>
      <c r="AS515" t="str">
        <f t="shared" si="433"/>
        <v>-0,000272527472527473</v>
      </c>
      <c r="AT515" t="str">
        <f t="shared" si="434"/>
        <v>1,31759804197852i</v>
      </c>
      <c r="AU515">
        <f t="shared" si="458"/>
        <v>1.31759804197852</v>
      </c>
      <c r="AV515">
        <f t="shared" si="459"/>
        <v>1.5707963267949</v>
      </c>
      <c r="AW515" t="str">
        <f t="shared" si="435"/>
        <v>1+67,4586030350605i</v>
      </c>
      <c r="AX515">
        <f t="shared" si="460"/>
        <v>67.4660145809864</v>
      </c>
      <c r="AY515">
        <f t="shared" si="461"/>
        <v>1.55597350634991</v>
      </c>
      <c r="AZ515" t="str">
        <f t="shared" si="436"/>
        <v>1+3225,0953408464i</v>
      </c>
      <c r="BA515">
        <f t="shared" si="462"/>
        <v>3225.09549588057</v>
      </c>
      <c r="BB515">
        <f t="shared" si="463"/>
        <v>1.57048625845202</v>
      </c>
      <c r="BC515" s="30" t="str">
        <f t="shared" si="464"/>
        <v>-0,000143489262127609+0,00988642175343994i</v>
      </c>
      <c r="BD515" s="32">
        <f t="shared" si="465"/>
        <v>-40.0983025876676</v>
      </c>
      <c r="BE515" s="31">
        <f t="shared" si="466"/>
        <v>90.8315194445708</v>
      </c>
      <c r="BF515" s="30" t="str">
        <f t="shared" si="467"/>
        <v>-0,000355424038748853-0,0064791356902116i</v>
      </c>
      <c r="BG515" s="68">
        <f t="shared" si="468"/>
        <v>-43.756609076359</v>
      </c>
      <c r="BH515" s="31">
        <f t="shared" si="469"/>
        <v>-93.1399106287001</v>
      </c>
      <c r="BI515" s="30" t="str">
        <f t="shared" si="476"/>
        <v>0,486564529670856+0,113455300886543i</v>
      </c>
      <c r="BJ515" s="68">
        <f t="shared" si="470"/>
        <v>-6.02725585178665</v>
      </c>
      <c r="BK515" s="31">
        <f t="shared" si="477"/>
        <v>13.1254874548561</v>
      </c>
      <c r="BL515" s="32">
        <f t="shared" si="471"/>
        <v>-43.756609076359</v>
      </c>
      <c r="BM515" s="31">
        <f t="shared" si="472"/>
        <v>-93.1399106287001</v>
      </c>
      <c r="BO515">
        <f t="shared" si="473"/>
        <v>0</v>
      </c>
      <c r="BP515">
        <f t="shared" si="474"/>
        <v>0</v>
      </c>
    </row>
    <row r="516" spans="14:68">
      <c r="N516" s="7">
        <v>98</v>
      </c>
      <c r="O516" s="18">
        <f t="shared" si="475"/>
        <v>954992.586021437</v>
      </c>
      <c r="P516" s="86" t="str">
        <f t="shared" si="425"/>
        <v>96,0576923076923</v>
      </c>
      <c r="Q516" s="4" t="str">
        <f t="shared" si="426"/>
        <v>1+8009,60470116384i</v>
      </c>
      <c r="R516" s="4">
        <f t="shared" si="437"/>
        <v>8009.60476358889</v>
      </c>
      <c r="S516" s="4">
        <f t="shared" si="438"/>
        <v>1.57067147668904</v>
      </c>
      <c r="T516" s="4" t="str">
        <f t="shared" si="427"/>
        <v>1+94,0861996360996i</v>
      </c>
      <c r="U516" s="4">
        <f t="shared" si="439"/>
        <v>94.0915137616777</v>
      </c>
      <c r="V516" s="4">
        <f t="shared" si="440"/>
        <v>1.56016817568398</v>
      </c>
      <c r="W516" t="str">
        <f t="shared" si="428"/>
        <v>1-44,6696100880009i</v>
      </c>
      <c r="X516" s="4">
        <f t="shared" si="441"/>
        <v>44.6808019781878</v>
      </c>
      <c r="Y516" s="4">
        <f t="shared" si="442"/>
        <v>-1.54841348093639</v>
      </c>
      <c r="Z516" t="str">
        <f t="shared" si="429"/>
        <v>-6,44498644372176+76,5722097632359i</v>
      </c>
      <c r="AA516" s="4">
        <f t="shared" si="443"/>
        <v>76.842964273151</v>
      </c>
      <c r="AB516" s="4">
        <f t="shared" si="444"/>
        <v>1.65476714675432</v>
      </c>
      <c r="AC516" s="67" t="str">
        <f t="shared" si="445"/>
        <v>-0,654423433593033+0,0472601208443283i</v>
      </c>
      <c r="AD516" s="68">
        <f t="shared" si="446"/>
        <v>-3.66023263481798</v>
      </c>
      <c r="AE516" s="31">
        <f t="shared" si="447"/>
        <v>175.869474196711</v>
      </c>
      <c r="AF516" s="32" t="str">
        <f t="shared" si="448"/>
        <v>236,914774604583</v>
      </c>
      <c r="AG516" s="32" t="str">
        <f t="shared" si="430"/>
        <v>1+1977,94851507709i</v>
      </c>
      <c r="AH516" s="32">
        <f t="shared" si="449"/>
        <v>1977.94876786424</v>
      </c>
      <c r="AI516" s="32">
        <f t="shared" si="450"/>
        <v>1.57029075250559</v>
      </c>
      <c r="AJ516" s="32" t="str">
        <f t="shared" si="431"/>
        <v>1+94,0861996360996i</v>
      </c>
      <c r="AK516" s="32">
        <f t="shared" si="451"/>
        <v>94.0915137616777</v>
      </c>
      <c r="AL516" s="32">
        <f t="shared" si="452"/>
        <v>1.56016817568398</v>
      </c>
      <c r="AM516" s="32" t="str">
        <f t="shared" si="432"/>
        <v>1-4,47243065754539i</v>
      </c>
      <c r="AN516" s="32">
        <f t="shared" si="453"/>
        <v>4.58286329564301</v>
      </c>
      <c r="AO516" s="32">
        <f t="shared" si="454"/>
        <v>-1.35082238197332</v>
      </c>
      <c r="AP516" s="30" t="str">
        <f t="shared" si="455"/>
        <v>10,7593003213102-50,5162147827612i</v>
      </c>
      <c r="AQ516" s="32">
        <f t="shared" si="456"/>
        <v>34.2612893014242</v>
      </c>
      <c r="AR516" s="31">
        <f t="shared" si="457"/>
        <v>-77.9764022885553</v>
      </c>
      <c r="AS516" t="str">
        <f t="shared" si="433"/>
        <v>-0,000272527472527473</v>
      </c>
      <c r="AT516" t="str">
        <f t="shared" si="434"/>
        <v>1,34828884299946i</v>
      </c>
      <c r="AU516">
        <f t="shared" si="458"/>
        <v>1.34828884299946</v>
      </c>
      <c r="AV516">
        <f t="shared" si="459"/>
        <v>1.5707963267949</v>
      </c>
      <c r="AW516" t="str">
        <f t="shared" si="435"/>
        <v>1+69,0299157548266i</v>
      </c>
      <c r="AX516">
        <f t="shared" si="460"/>
        <v>69.0371586112758</v>
      </c>
      <c r="AY516">
        <f t="shared" si="461"/>
        <v>1.5563108671903</v>
      </c>
      <c r="AZ516" t="str">
        <f t="shared" si="436"/>
        <v>1+3300,21746172543i</v>
      </c>
      <c r="BA516">
        <f t="shared" si="462"/>
        <v>3300.21761323059</v>
      </c>
      <c r="BB516">
        <f t="shared" si="463"/>
        <v>1.57049331646876</v>
      </c>
      <c r="BC516" s="30" t="str">
        <f t="shared" si="464"/>
        <v>-0,000137032536500405+0,00966147285470922i</v>
      </c>
      <c r="BD516" s="32">
        <f t="shared" si="465"/>
        <v>-40.2982596626664</v>
      </c>
      <c r="BE516" s="31">
        <f t="shared" si="466"/>
        <v>90.8125944868139</v>
      </c>
      <c r="BF516" s="30" t="str">
        <f t="shared" si="467"/>
        <v>-0,000366925071597198-0,0063291704133793i</v>
      </c>
      <c r="BG516" s="68">
        <f t="shared" si="468"/>
        <v>-43.9584922974844</v>
      </c>
      <c r="BH516" s="31">
        <f t="shared" si="469"/>
        <v>-93.3179313164751</v>
      </c>
      <c r="BI516" s="30" t="str">
        <f t="shared" si="476"/>
        <v>0,486586663632309+0,110873053036084i</v>
      </c>
      <c r="BJ516" s="68">
        <f t="shared" si="470"/>
        <v>-6.0369703612422</v>
      </c>
      <c r="BK516" s="31">
        <f t="shared" si="477"/>
        <v>12.8361921982586</v>
      </c>
      <c r="BL516" s="32">
        <f t="shared" si="471"/>
        <v>-43.9584922974844</v>
      </c>
      <c r="BM516" s="31">
        <f t="shared" si="472"/>
        <v>-93.3179313164751</v>
      </c>
      <c r="BO516">
        <f t="shared" si="473"/>
        <v>0</v>
      </c>
      <c r="BP516">
        <f t="shared" si="474"/>
        <v>0</v>
      </c>
    </row>
    <row r="517" spans="14:68">
      <c r="N517" s="7">
        <v>99</v>
      </c>
      <c r="O517" s="18">
        <f t="shared" si="475"/>
        <v>977237.220955812</v>
      </c>
      <c r="P517" s="86" t="str">
        <f t="shared" si="425"/>
        <v>96,0576923076923</v>
      </c>
      <c r="Q517" s="4" t="str">
        <f t="shared" si="426"/>
        <v>1+8196,17236163994i</v>
      </c>
      <c r="R517" s="4">
        <f t="shared" si="437"/>
        <v>8196.17242264403</v>
      </c>
      <c r="S517" s="4">
        <f t="shared" si="438"/>
        <v>1.57067431862439</v>
      </c>
      <c r="T517" s="4" t="str">
        <f t="shared" si="427"/>
        <v>1+96,2777487579488i</v>
      </c>
      <c r="U517" s="4">
        <f t="shared" si="439"/>
        <v>96.2829419258609</v>
      </c>
      <c r="V517" s="4">
        <f t="shared" si="440"/>
        <v>1.56041008433876</v>
      </c>
      <c r="W517" t="str">
        <f t="shared" si="428"/>
        <v>1-45,710098970965i</v>
      </c>
      <c r="X517" s="4">
        <f t="shared" si="441"/>
        <v>45.7210361642802</v>
      </c>
      <c r="Y517" s="4">
        <f t="shared" si="442"/>
        <v>-1.54892281232268</v>
      </c>
      <c r="Z517" t="str">
        <f t="shared" si="429"/>
        <v>-6,79585784507301+78,3558056541713i</v>
      </c>
      <c r="AA517" s="4">
        <f t="shared" si="443"/>
        <v>78.6499584460456</v>
      </c>
      <c r="AB517" s="4">
        <f t="shared" si="444"/>
        <v>1.65731058439818</v>
      </c>
      <c r="AC517" s="67" t="str">
        <f t="shared" si="445"/>
        <v>-0,654136646314923+0,0490899356241982i</v>
      </c>
      <c r="AD517" s="68">
        <f t="shared" si="446"/>
        <v>-3.66224037651302</v>
      </c>
      <c r="AE517" s="31">
        <f t="shared" si="447"/>
        <v>175.708260929501</v>
      </c>
      <c r="AF517" s="32" t="str">
        <f t="shared" si="448"/>
        <v>236,914774604583</v>
      </c>
      <c r="AG517" s="32" t="str">
        <f t="shared" si="430"/>
        <v>1+2024,02085457051i</v>
      </c>
      <c r="AH517" s="32">
        <f t="shared" si="449"/>
        <v>2024.02110160352</v>
      </c>
      <c r="AI517" s="32">
        <f t="shared" si="450"/>
        <v>1.57030226077953</v>
      </c>
      <c r="AJ517" s="32" t="str">
        <f t="shared" si="431"/>
        <v>1+96,2777487579488i</v>
      </c>
      <c r="AK517" s="32">
        <f t="shared" si="451"/>
        <v>96.2829419258609</v>
      </c>
      <c r="AL517" s="32">
        <f t="shared" si="452"/>
        <v>1.56041008433876</v>
      </c>
      <c r="AM517" s="32" t="str">
        <f t="shared" si="432"/>
        <v>1-4,57660695032781i</v>
      </c>
      <c r="AN517" s="32">
        <f t="shared" si="453"/>
        <v>4.68458441889874</v>
      </c>
      <c r="AO517" s="32">
        <f t="shared" si="454"/>
        <v>-1.35567484942114</v>
      </c>
      <c r="AP517" s="30" t="str">
        <f t="shared" si="455"/>
        <v>10,759297719587-51,6876226416959i</v>
      </c>
      <c r="AQ517" s="32">
        <f t="shared" si="456"/>
        <v>34.4519506114539</v>
      </c>
      <c r="AR517" s="31">
        <f t="shared" si="457"/>
        <v>-78.2412272241197</v>
      </c>
      <c r="AS517" t="str">
        <f t="shared" si="433"/>
        <v>-0,000272527472527473</v>
      </c>
      <c r="AT517" t="str">
        <f t="shared" si="434"/>
        <v>1,37969452461168i</v>
      </c>
      <c r="AU517">
        <f t="shared" si="458"/>
        <v>1.37969452461168</v>
      </c>
      <c r="AV517">
        <f t="shared" si="459"/>
        <v>1.5707963267949</v>
      </c>
      <c r="AW517" t="str">
        <f t="shared" si="435"/>
        <v>1+70,6378290496449i</v>
      </c>
      <c r="AX517">
        <f t="shared" si="460"/>
        <v>70.6449070552638</v>
      </c>
      <c r="AY517">
        <f t="shared" si="461"/>
        <v>1.55664055194677</v>
      </c>
      <c r="AZ517" t="str">
        <f t="shared" si="436"/>
        <v>1+3377,08940158621i</v>
      </c>
      <c r="BA517">
        <f t="shared" si="462"/>
        <v>3377.0895496427</v>
      </c>
      <c r="BB517">
        <f t="shared" si="463"/>
        <v>1.57050021382546</v>
      </c>
      <c r="BC517" s="30" t="str">
        <f t="shared" si="464"/>
        <v>-0,000130866292195479+0,00944163817667291i</v>
      </c>
      <c r="BD517" s="32">
        <f t="shared" si="465"/>
        <v>-40.4982186692122</v>
      </c>
      <c r="BE517" s="31">
        <f t="shared" si="466"/>
        <v>90.794100131127</v>
      </c>
      <c r="BF517" s="30" t="str">
        <f t="shared" si="467"/>
        <v>-0,000377884972787426-0,00618254575046702i</v>
      </c>
      <c r="BG517" s="68">
        <f t="shared" si="468"/>
        <v>-44.1604590457252</v>
      </c>
      <c r="BH517" s="31">
        <f t="shared" si="469"/>
        <v>-93.4976389393721</v>
      </c>
      <c r="BI517" s="30" t="str">
        <f t="shared" si="476"/>
        <v>0,486607801796109+0,10834956363096i</v>
      </c>
      <c r="BJ517" s="68">
        <f t="shared" si="470"/>
        <v>-6.0462680577583</v>
      </c>
      <c r="BK517" s="31">
        <f t="shared" si="477"/>
        <v>12.5528729070073</v>
      </c>
      <c r="BL517" s="32">
        <f t="shared" si="471"/>
        <v>-44.1604590457252</v>
      </c>
      <c r="BM517" s="31">
        <f t="shared" si="472"/>
        <v>-93.4976389393721</v>
      </c>
      <c r="BO517">
        <f t="shared" si="473"/>
        <v>0</v>
      </c>
      <c r="BP517">
        <f t="shared" si="474"/>
        <v>0</v>
      </c>
    </row>
    <row r="518" spans="14:68">
      <c r="N518" s="7">
        <v>100</v>
      </c>
      <c r="O518" s="18">
        <f t="shared" si="475"/>
        <v>1000000</v>
      </c>
      <c r="P518" s="86" t="str">
        <f t="shared" si="425"/>
        <v>96,0576923076923</v>
      </c>
      <c r="Q518" s="4" t="str">
        <f t="shared" si="426"/>
        <v>1+8387,08574119134i</v>
      </c>
      <c r="R518" s="4">
        <f t="shared" si="437"/>
        <v>8387.0858008068</v>
      </c>
      <c r="S518" s="4">
        <f t="shared" si="438"/>
        <v>1.57067709586939</v>
      </c>
      <c r="T518" s="4" t="str">
        <f t="shared" si="427"/>
        <v>1+98,520345616576i</v>
      </c>
      <c r="U518" s="4">
        <f t="shared" si="439"/>
        <v>98.5254205797143</v>
      </c>
      <c r="V518" s="4">
        <f t="shared" si="440"/>
        <v>1.56064648765496</v>
      </c>
      <c r="W518" t="str">
        <f t="shared" si="428"/>
        <v>1-46,7748239534481i</v>
      </c>
      <c r="X518" s="4">
        <f t="shared" si="441"/>
        <v>46.7855122433864</v>
      </c>
      <c r="Y518" s="4">
        <f t="shared" si="442"/>
        <v>-1.54942056087933</v>
      </c>
      <c r="Z518" t="str">
        <f t="shared" si="429"/>
        <v>-7,16326530612251+80,1809468304261i</v>
      </c>
      <c r="AA518" s="4">
        <f t="shared" si="443"/>
        <v>80.5002894682343</v>
      </c>
      <c r="AB518" s="4">
        <f t="shared" si="444"/>
        <v>1.65989852225648</v>
      </c>
      <c r="AC518" s="67" t="str">
        <f t="shared" si="445"/>
        <v>-0,653836371524136+0,0509430908112171i</v>
      </c>
      <c r="AD518" s="68">
        <f t="shared" si="446"/>
        <v>-3.6643338553994</v>
      </c>
      <c r="AE518" s="31">
        <f t="shared" si="447"/>
        <v>175.544849908887</v>
      </c>
      <c r="AF518" s="32" t="str">
        <f t="shared" si="448"/>
        <v>236,914774604583</v>
      </c>
      <c r="AG518" s="32" t="str">
        <f t="shared" si="430"/>
        <v>1+2071,16635671211i</v>
      </c>
      <c r="AH518" s="32">
        <f t="shared" si="449"/>
        <v>2071.16659812197</v>
      </c>
      <c r="AI518" s="32">
        <f t="shared" si="450"/>
        <v>1.5703135070933</v>
      </c>
      <c r="AJ518" s="32" t="str">
        <f t="shared" si="431"/>
        <v>1+98,520345616576i</v>
      </c>
      <c r="AK518" s="32">
        <f t="shared" si="451"/>
        <v>98.5254205797143</v>
      </c>
      <c r="AL518" s="32">
        <f t="shared" si="452"/>
        <v>1.56064648765496</v>
      </c>
      <c r="AM518" s="32" t="str">
        <f t="shared" si="432"/>
        <v>1-4,68320982069383i</v>
      </c>
      <c r="AN518" s="32">
        <f t="shared" si="453"/>
        <v>4.78878421153461</v>
      </c>
      <c r="AO518" s="32">
        <f t="shared" si="454"/>
        <v>-1.36042682495348</v>
      </c>
      <c r="AP518" s="30" t="str">
        <f t="shared" si="455"/>
        <v>10,7592952349606-52,8864359622053i</v>
      </c>
      <c r="AQ518" s="32">
        <f t="shared" si="456"/>
        <v>34.6430135353393</v>
      </c>
      <c r="AR518" s="31">
        <f t="shared" si="457"/>
        <v>-78.5005948205054</v>
      </c>
      <c r="AS518" t="str">
        <f t="shared" si="433"/>
        <v>-0,000272527472527473</v>
      </c>
      <c r="AT518" t="str">
        <f t="shared" si="434"/>
        <v>1,41183173852325i</v>
      </c>
      <c r="AU518">
        <f t="shared" si="458"/>
        <v>1.41183173852325</v>
      </c>
      <c r="AV518">
        <f t="shared" si="459"/>
        <v>1.5707963267949</v>
      </c>
      <c r="AW518" t="str">
        <f t="shared" si="435"/>
        <v>1+72,2831954564274i</v>
      </c>
      <c r="AX518">
        <f t="shared" si="460"/>
        <v>72.2901123625637</v>
      </c>
      <c r="AY518">
        <f t="shared" si="461"/>
        <v>1.55696273513569</v>
      </c>
      <c r="AZ518" t="str">
        <f t="shared" si="436"/>
        <v>1+3455,75191894877i</v>
      </c>
      <c r="BA518">
        <f t="shared" si="462"/>
        <v>3455.75206363508</v>
      </c>
      <c r="BB518">
        <f t="shared" si="463"/>
        <v>1.57050695417917</v>
      </c>
      <c r="BC518" s="30" t="str">
        <f t="shared" si="464"/>
        <v>-0,00012497746588502+0,00922680172185763i</v>
      </c>
      <c r="BD518" s="32">
        <f t="shared" si="465"/>
        <v>-40.6981795204057</v>
      </c>
      <c r="BE518" s="31">
        <f t="shared" si="466"/>
        <v>90.7760265879921</v>
      </c>
      <c r="BF518" s="30" t="str">
        <f t="shared" si="467"/>
        <v>-0,000388326985197145-0,00603918529698598i</v>
      </c>
      <c r="BG518" s="68">
        <f t="shared" si="468"/>
        <v>-44.3625133758051</v>
      </c>
      <c r="BH518" s="31">
        <f t="shared" si="469"/>
        <v>-93.6791235031208</v>
      </c>
      <c r="BI518" s="30" t="str">
        <f t="shared" si="476"/>
        <v>0,486627988945815+0,105883496546156i</v>
      </c>
      <c r="BJ518" s="68">
        <f t="shared" si="470"/>
        <v>-6.05516598506632</v>
      </c>
      <c r="BK518" s="31">
        <f t="shared" si="477"/>
        <v>12.2754317674867</v>
      </c>
      <c r="BL518" s="32">
        <f t="shared" si="471"/>
        <v>-44.3625133758051</v>
      </c>
      <c r="BM518" s="31">
        <f t="shared" si="472"/>
        <v>-93.6791235031208</v>
      </c>
      <c r="BO518">
        <f t="shared" si="473"/>
        <v>0</v>
      </c>
      <c r="BP518">
        <f t="shared" si="474"/>
        <v>0</v>
      </c>
    </row>
    <row r="519" spans="14:68">
      <c r="N519" s="7">
        <v>1</v>
      </c>
      <c r="O519" s="18">
        <f>10^(6+(N519/100))</f>
        <v>1023292.99228076</v>
      </c>
      <c r="P519" s="86" t="str">
        <f t="shared" si="425"/>
        <v>96,0576923076923</v>
      </c>
      <c r="Q519" s="4" t="str">
        <f t="shared" si="426"/>
        <v>1+8582,44606461897i</v>
      </c>
      <c r="R519" s="4">
        <f t="shared" si="437"/>
        <v>8582.44612287742</v>
      </c>
      <c r="S519" s="4">
        <f t="shared" si="438"/>
        <v>1.57067980989657</v>
      </c>
      <c r="T519" s="4" t="str">
        <f t="shared" si="427"/>
        <v>1+100,815179266521i</v>
      </c>
      <c r="U519" s="4">
        <f t="shared" si="439"/>
        <v>100.820138715143</v>
      </c>
      <c r="V519" s="4">
        <f t="shared" si="440"/>
        <v>1.56087751087097</v>
      </c>
      <c r="W519" t="str">
        <f t="shared" si="428"/>
        <v>1-47,8643495667296i</v>
      </c>
      <c r="X519" s="4">
        <f t="shared" si="441"/>
        <v>47.8747946151844</v>
      </c>
      <c r="Y519" s="4">
        <f t="shared" si="442"/>
        <v>-1.54990698953208</v>
      </c>
      <c r="Z519" t="str">
        <f t="shared" si="429"/>
        <v>-7,54798814735442+82,0486010060111i</v>
      </c>
      <c r="AA519" s="4">
        <f t="shared" si="443"/>
        <v>82.3950547794964</v>
      </c>
      <c r="AB519" s="4">
        <f t="shared" si="444"/>
        <v>1.66253223526865</v>
      </c>
      <c r="AC519" s="67" t="str">
        <f t="shared" si="445"/>
        <v>-0,653522010683218+0,0528203803392521i</v>
      </c>
      <c r="AD519" s="68">
        <f t="shared" si="446"/>
        <v>-3.66651738387285</v>
      </c>
      <c r="AE519" s="31">
        <f t="shared" si="447"/>
        <v>175.379160112948</v>
      </c>
      <c r="AF519" s="32" t="str">
        <f t="shared" si="448"/>
        <v>236,914774604583</v>
      </c>
      <c r="AG519" s="32" t="str">
        <f t="shared" si="430"/>
        <v>1+2119,41001867117i</v>
      </c>
      <c r="AH519" s="32">
        <f t="shared" si="449"/>
        <v>2119.41025458587</v>
      </c>
      <c r="AI519" s="32">
        <f t="shared" si="450"/>
        <v>1.57032449740984</v>
      </c>
      <c r="AJ519" s="32" t="str">
        <f t="shared" si="431"/>
        <v>1+100,815179266521i</v>
      </c>
      <c r="AK519" s="32">
        <f t="shared" si="451"/>
        <v>100.820138715143</v>
      </c>
      <c r="AL519" s="32">
        <f t="shared" si="452"/>
        <v>1.56087751087097</v>
      </c>
      <c r="AM519" s="32" t="str">
        <f t="shared" si="432"/>
        <v>1-4,79229579089643i</v>
      </c>
      <c r="AN519" s="32">
        <f t="shared" si="453"/>
        <v>4.8955182511603</v>
      </c>
      <c r="AO519" s="32">
        <f t="shared" si="454"/>
        <v>-1.36507996928929</v>
      </c>
      <c r="AP519" s="30" t="str">
        <f t="shared" si="455"/>
        <v>10,7592928621607-54,1132903709898i</v>
      </c>
      <c r="AQ519" s="32">
        <f t="shared" si="456"/>
        <v>34.8344615723625</v>
      </c>
      <c r="AR519" s="31">
        <f t="shared" si="457"/>
        <v>-78.7545933959185</v>
      </c>
      <c r="AS519" t="str">
        <f t="shared" si="433"/>
        <v>-0,000272527472527473</v>
      </c>
      <c r="AT519" t="str">
        <f t="shared" si="434"/>
        <v>1,44471752431041i</v>
      </c>
      <c r="AU519">
        <f t="shared" si="458"/>
        <v>1.44471752431041</v>
      </c>
      <c r="AV519">
        <f t="shared" si="459"/>
        <v>1.5707963267949</v>
      </c>
      <c r="AW519" t="str">
        <f t="shared" si="435"/>
        <v>1+73,9668873702226i</v>
      </c>
      <c r="AX519">
        <f t="shared" si="460"/>
        <v>73.9736468429075</v>
      </c>
      <c r="AY519">
        <f t="shared" si="461"/>
        <v>1.55727758731516</v>
      </c>
      <c r="AZ519" t="str">
        <f t="shared" si="436"/>
        <v>1+3536,24672172106i</v>
      </c>
      <c r="BA519">
        <f t="shared" si="462"/>
        <v>3536.24686311391</v>
      </c>
      <c r="BB519">
        <f t="shared" si="463"/>
        <v>1.57051354110373</v>
      </c>
      <c r="BC519" s="30" t="str">
        <f t="shared" si="464"/>
        <v>-0,000119353581265618+0,00901685010544123i</v>
      </c>
      <c r="BD519" s="32">
        <f t="shared" si="465"/>
        <v>-40.8981421332562</v>
      </c>
      <c r="BE519" s="31">
        <f t="shared" si="466"/>
        <v>90.7583642899154</v>
      </c>
      <c r="BF519" s="30" t="str">
        <f t="shared" si="467"/>
        <v>-0,000398273259620482-0,00589901431249444i</v>
      </c>
      <c r="BG519" s="68">
        <f t="shared" si="468"/>
        <v>-44.564659517129</v>
      </c>
      <c r="BH519" s="31">
        <f t="shared" si="469"/>
        <v>-93.8624755971365</v>
      </c>
      <c r="BI519" s="30" t="str">
        <f t="shared" si="476"/>
        <v>0,486647267852447+0,103473545978491i</v>
      </c>
      <c r="BJ519" s="68">
        <f t="shared" si="470"/>
        <v>-6.06368056089363</v>
      </c>
      <c r="BK519" s="31">
        <f t="shared" si="477"/>
        <v>12.0037708939969</v>
      </c>
      <c r="BL519" s="32">
        <f t="shared" si="471"/>
        <v>-44.564659517129</v>
      </c>
      <c r="BM519" s="31">
        <f t="shared" si="472"/>
        <v>-93.8624755971365</v>
      </c>
      <c r="BO519">
        <f t="shared" si="473"/>
        <v>0</v>
      </c>
      <c r="BP519">
        <f t="shared" si="474"/>
        <v>0</v>
      </c>
    </row>
    <row r="520" spans="14:68">
      <c r="N520" s="7">
        <v>2</v>
      </c>
      <c r="O520" s="18">
        <f t="shared" ref="O520:O560" si="478">10^(6+(N520/100))</f>
        <v>1047128.5480509</v>
      </c>
      <c r="P520" s="86" t="str">
        <f t="shared" si="425"/>
        <v>96,0576923076923</v>
      </c>
      <c r="Q520" s="4" t="str">
        <f t="shared" si="426"/>
        <v>1+8782,35691455209i</v>
      </c>
      <c r="R520" s="4">
        <f t="shared" si="437"/>
        <v>8782.35697148442</v>
      </c>
      <c r="S520" s="4">
        <f t="shared" si="438"/>
        <v>1.57068246214496</v>
      </c>
      <c r="T520" s="4" t="str">
        <f t="shared" si="427"/>
        <v>1+103,163466458958i</v>
      </c>
      <c r="U520" s="4">
        <f t="shared" si="439"/>
        <v>103.168313022112</v>
      </c>
      <c r="V520" s="4">
        <f t="shared" si="440"/>
        <v>1.56110327637968</v>
      </c>
      <c r="W520" t="str">
        <f t="shared" si="428"/>
        <v>1-48,9792534917106i</v>
      </c>
      <c r="X520" s="4">
        <f t="shared" si="441"/>
        <v>48.9894608319508</v>
      </c>
      <c r="Y520" s="4">
        <f t="shared" si="442"/>
        <v>-1.55038235527056</v>
      </c>
      <c r="Z520" t="str">
        <f t="shared" si="429"/>
        <v>-7,95084241749546+83,9597584358905i</v>
      </c>
      <c r="AA520" s="4">
        <f t="shared" si="443"/>
        <v>84.3353836284684</v>
      </c>
      <c r="AB520" s="4">
        <f t="shared" si="444"/>
        <v>1.66521301586662</v>
      </c>
      <c r="AC520" s="67" t="str">
        <f t="shared" si="445"/>
        <v>-0,653192939000827+0,0547225979553229i</v>
      </c>
      <c r="AD520" s="68">
        <f t="shared" si="446"/>
        <v>-3.66879545319751</v>
      </c>
      <c r="AE520" s="31">
        <f t="shared" si="447"/>
        <v>175.211109696513</v>
      </c>
      <c r="AF520" s="32" t="str">
        <f t="shared" si="448"/>
        <v>236,914774604583</v>
      </c>
      <c r="AG520" s="32" t="str">
        <f t="shared" si="430"/>
        <v>1+2168,77741987582i</v>
      </c>
      <c r="AH520" s="32">
        <f t="shared" si="449"/>
        <v>2168.77765042044</v>
      </c>
      <c r="AI520" s="32">
        <f t="shared" si="450"/>
        <v>1.57033523755634</v>
      </c>
      <c r="AJ520" s="32" t="str">
        <f t="shared" si="431"/>
        <v>1+103,163466458958i</v>
      </c>
      <c r="AK520" s="32">
        <f t="shared" si="451"/>
        <v>103.168313022112</v>
      </c>
      <c r="AL520" s="32">
        <f t="shared" si="452"/>
        <v>1.56110327637968</v>
      </c>
      <c r="AM520" s="32" t="str">
        <f t="shared" si="432"/>
        <v>1-4,90392269976085i</v>
      </c>
      <c r="AN520" s="32">
        <f t="shared" si="453"/>
        <v>5.00484343863319</v>
      </c>
      <c r="AO520" s="32">
        <f t="shared" si="454"/>
        <v>-1.36963594322175</v>
      </c>
      <c r="AP520" s="30" t="str">
        <f t="shared" si="455"/>
        <v>10,7592905961544-55,3688363625007i</v>
      </c>
      <c r="AQ520" s="32">
        <f t="shared" si="456"/>
        <v>35.0262788345751</v>
      </c>
      <c r="AR520" s="31">
        <f t="shared" si="457"/>
        <v>-79.0033114280772</v>
      </c>
      <c r="AS520" t="str">
        <f t="shared" si="433"/>
        <v>-0,000272527472527473</v>
      </c>
      <c r="AT520" t="str">
        <f t="shared" si="434"/>
        <v>1,47836931845203i</v>
      </c>
      <c r="AU520">
        <f t="shared" si="458"/>
        <v>1.47836931845203</v>
      </c>
      <c r="AV520">
        <f t="shared" si="459"/>
        <v>1.5707963267949</v>
      </c>
      <c r="AW520" t="str">
        <f t="shared" si="435"/>
        <v>1+75,6897975067682i</v>
      </c>
      <c r="AX520">
        <f t="shared" si="460"/>
        <v>75.6964031286532</v>
      </c>
      <c r="AY520">
        <f t="shared" si="461"/>
        <v>1.55758527517412</v>
      </c>
      <c r="AZ520" t="str">
        <f t="shared" si="436"/>
        <v>1+3618,61648931294i</v>
      </c>
      <c r="BA520">
        <f t="shared" si="462"/>
        <v>3618.61662748729</v>
      </c>
      <c r="BB520">
        <f t="shared" si="463"/>
        <v>1.5705199780916</v>
      </c>
      <c r="BC520" s="30" t="str">
        <f t="shared" si="464"/>
        <v>-0,00011398272271892+0,00881167249763434i</v>
      </c>
      <c r="BD520" s="32">
        <f t="shared" si="465"/>
        <v>-41.0981064285046</v>
      </c>
      <c r="BE520" s="31">
        <f t="shared" si="466"/>
        <v>90.7411038864273</v>
      </c>
      <c r="BF520" s="30" t="str">
        <f t="shared" si="467"/>
        <v>-0,000407744901753932-0,00576195968695173i</v>
      </c>
      <c r="BG520" s="68">
        <f t="shared" si="468"/>
        <v>-44.7669018817022</v>
      </c>
      <c r="BH520" s="31">
        <f t="shared" si="469"/>
        <v>-94.0477864170593</v>
      </c>
      <c r="BI520" s="30" t="str">
        <f t="shared" si="476"/>
        <v>0,48666567936479+0,101118435762566i</v>
      </c>
      <c r="BJ520" s="68">
        <f t="shared" si="470"/>
        <v>-6.07182759392953</v>
      </c>
      <c r="BK520" s="31">
        <f t="shared" si="477"/>
        <v>11.7377924583501</v>
      </c>
      <c r="BL520" s="32">
        <f t="shared" si="471"/>
        <v>-44.7669018817022</v>
      </c>
      <c r="BM520" s="31">
        <f t="shared" si="472"/>
        <v>-94.0477864170593</v>
      </c>
      <c r="BO520">
        <f t="shared" si="473"/>
        <v>0</v>
      </c>
      <c r="BP520">
        <f t="shared" si="474"/>
        <v>0</v>
      </c>
    </row>
    <row r="521" spans="14:68">
      <c r="N521" s="7">
        <v>3</v>
      </c>
      <c r="O521" s="18">
        <f t="shared" si="478"/>
        <v>1071519.30523761</v>
      </c>
      <c r="P521" s="86" t="str">
        <f t="shared" si="425"/>
        <v>96,0576923076923</v>
      </c>
      <c r="Q521" s="4" t="str">
        <f t="shared" si="426"/>
        <v>1+8986,92428636961i</v>
      </c>
      <c r="R521" s="4">
        <f t="shared" si="437"/>
        <v>8986.924342006</v>
      </c>
      <c r="S521" s="4">
        <f t="shared" si="438"/>
        <v>1.57068505402081</v>
      </c>
      <c r="T521" s="4" t="str">
        <f t="shared" si="427"/>
        <v>1+105,566452286843i</v>
      </c>
      <c r="U521" s="4">
        <f t="shared" si="439"/>
        <v>105.571188533758</v>
      </c>
      <c r="V521" s="4">
        <f t="shared" si="440"/>
        <v>1.56132390379283</v>
      </c>
      <c r="W521" t="str">
        <f t="shared" si="428"/>
        <v>1-50,1201268652102i</v>
      </c>
      <c r="X521" s="4">
        <f t="shared" si="441"/>
        <v>50.1301019047913</v>
      </c>
      <c r="Y521" s="4">
        <f t="shared" si="442"/>
        <v>-1.55084690928013</v>
      </c>
      <c r="Z521" t="str">
        <f t="shared" si="429"/>
        <v>-8,37268262446447+85,9154324410319i</v>
      </c>
      <c r="AA521" s="4">
        <f t="shared" si="443"/>
        <v>86.3224382525165</v>
      </c>
      <c r="AB521" s="4">
        <f t="shared" si="444"/>
        <v>1.66794217419126</v>
      </c>
      <c r="AC521" s="67" t="str">
        <f t="shared" si="445"/>
        <v>-0,652848504444506+0,0566505367671932i</v>
      </c>
      <c r="AD521" s="68">
        <f t="shared" si="446"/>
        <v>-3.6711727418826</v>
      </c>
      <c r="AE521" s="31">
        <f t="shared" si="447"/>
        <v>175.040615974856</v>
      </c>
      <c r="AF521" s="32" t="str">
        <f t="shared" si="448"/>
        <v>236,914774604583</v>
      </c>
      <c r="AG521" s="32" t="str">
        <f t="shared" si="430"/>
        <v>1+2219,29473557567i</v>
      </c>
      <c r="AH521" s="32">
        <f t="shared" si="449"/>
        <v>2219.29496087246</v>
      </c>
      <c r="AI521" s="32">
        <f t="shared" si="450"/>
        <v>1.57034573322736</v>
      </c>
      <c r="AJ521" s="32" t="str">
        <f t="shared" si="431"/>
        <v>1+105,566452286843i</v>
      </c>
      <c r="AK521" s="32">
        <f t="shared" si="451"/>
        <v>105.571188533758</v>
      </c>
      <c r="AL521" s="32">
        <f t="shared" si="452"/>
        <v>1.56132390379283</v>
      </c>
      <c r="AM521" s="32" t="str">
        <f t="shared" si="432"/>
        <v>1-5,01814973335181i</v>
      </c>
      <c r="AN521" s="32">
        <f t="shared" si="453"/>
        <v>5.1168180294338</v>
      </c>
      <c r="AO521" s="32">
        <f t="shared" si="454"/>
        <v>-1.37409640548939</v>
      </c>
      <c r="AP521" s="30" t="str">
        <f t="shared" si="455"/>
        <v>10,7592884321351-56,6537396438513i</v>
      </c>
      <c r="AQ521" s="32">
        <f t="shared" si="456"/>
        <v>35.2184500295881</v>
      </c>
      <c r="AR521" s="31">
        <f t="shared" si="457"/>
        <v>-79.2468374287245</v>
      </c>
      <c r="AS521" t="str">
        <f t="shared" si="433"/>
        <v>-0,000272527472527473</v>
      </c>
      <c r="AT521" t="str">
        <f t="shared" si="434"/>
        <v>1,51280496357484i</v>
      </c>
      <c r="AU521">
        <f t="shared" si="458"/>
        <v>1.51280496357484</v>
      </c>
      <c r="AV521">
        <f t="shared" si="459"/>
        <v>1.5707963267949</v>
      </c>
      <c r="AW521" t="str">
        <f t="shared" si="435"/>
        <v>1+77,4528393758255i</v>
      </c>
      <c r="AX521">
        <f t="shared" si="460"/>
        <v>77.4592946480758</v>
      </c>
      <c r="AY521">
        <f t="shared" si="461"/>
        <v>1.55788596161959</v>
      </c>
      <c r="AZ521" t="str">
        <f t="shared" si="436"/>
        <v>1+3702,90489526552i</v>
      </c>
      <c r="BA521">
        <f t="shared" si="462"/>
        <v>3702.90503029464</v>
      </c>
      <c r="BB521">
        <f t="shared" si="463"/>
        <v>1.57052626855576</v>
      </c>
      <c r="BC521" s="30" t="str">
        <f t="shared" si="464"/>
        <v>-0,000108853510150587+0,00861116056724755i</v>
      </c>
      <c r="BD521" s="32">
        <f t="shared" si="465"/>
        <v>-41.2980723304576</v>
      </c>
      <c r="BE521" s="31">
        <f t="shared" si="466"/>
        <v>90.7242362391927</v>
      </c>
      <c r="BF521" s="30" t="str">
        <f t="shared" si="467"/>
        <v>-0,000416762017017716-0,00562794990763809i</v>
      </c>
      <c r="BG521" s="68">
        <f t="shared" si="468"/>
        <v>-44.9692450723402</v>
      </c>
      <c r="BH521" s="31">
        <f t="shared" si="469"/>
        <v>-94.2351477859514</v>
      </c>
      <c r="BI521" s="30" t="str">
        <f t="shared" si="476"/>
        <v>0,486683262495681+0,0988169187018352i</v>
      </c>
      <c r="BJ521" s="68">
        <f t="shared" si="470"/>
        <v>-6.07962230086946</v>
      </c>
      <c r="BK521" s="31">
        <f t="shared" si="477"/>
        <v>11.4773988104683</v>
      </c>
      <c r="BL521" s="32">
        <f t="shared" si="471"/>
        <v>-44.9692450723402</v>
      </c>
      <c r="BM521" s="31">
        <f t="shared" si="472"/>
        <v>-94.2351477859514</v>
      </c>
      <c r="BO521">
        <f t="shared" si="473"/>
        <v>0</v>
      </c>
      <c r="BP521">
        <f t="shared" si="474"/>
        <v>0</v>
      </c>
    </row>
    <row r="522" spans="14:68">
      <c r="N522" s="7">
        <v>4</v>
      </c>
      <c r="O522" s="18">
        <f t="shared" si="478"/>
        <v>1096478.19614319</v>
      </c>
      <c r="P522" s="86" t="str">
        <f t="shared" si="425"/>
        <v>96,0576923076923</v>
      </c>
      <c r="Q522" s="4" t="str">
        <f t="shared" si="426"/>
        <v>1+9196,25664439975i</v>
      </c>
      <c r="R522" s="4">
        <f t="shared" si="437"/>
        <v>9196.2566987697</v>
      </c>
      <c r="S522" s="4">
        <f t="shared" si="438"/>
        <v>1.57068758689836</v>
      </c>
      <c r="T522" s="4" t="str">
        <f t="shared" si="427"/>
        <v>1+108,025410845067i</v>
      </c>
      <c r="U522" s="4">
        <f t="shared" si="439"/>
        <v>108.030039286513</v>
      </c>
      <c r="V522" s="4">
        <f t="shared" si="440"/>
        <v>1.56153951000403</v>
      </c>
      <c r="W522" t="str">
        <f t="shared" si="428"/>
        <v>1-51,2875745933921i</v>
      </c>
      <c r="X522" s="4">
        <f t="shared" si="441"/>
        <v>51.2973226170018</v>
      </c>
      <c r="Y522" s="4">
        <f t="shared" si="442"/>
        <v>-1.55130089707096</v>
      </c>
      <c r="Z522" t="str">
        <f t="shared" si="429"/>
        <v>-8,8144035478974+87,9166599456786i</v>
      </c>
      <c r="AA522" s="4">
        <f t="shared" si="443"/>
        <v>88.3574151155933</v>
      </c>
      <c r="AB522" s="4">
        <f t="shared" si="444"/>
        <v>1.67072103828682</v>
      </c>
      <c r="AC522" s="67" t="str">
        <f t="shared" si="445"/>
        <v>-0,65248802672655+0,0586049887349936i</v>
      </c>
      <c r="AD522" s="68">
        <f t="shared" si="446"/>
        <v>-3.67365412435037</v>
      </c>
      <c r="AE522" s="31">
        <f t="shared" si="447"/>
        <v>174.867595408719</v>
      </c>
      <c r="AF522" s="32" t="str">
        <f t="shared" si="448"/>
        <v>236,914774604583</v>
      </c>
      <c r="AG522" s="32" t="str">
        <f t="shared" si="430"/>
        <v>1+2270,98875072015i</v>
      </c>
      <c r="AH522" s="32">
        <f t="shared" si="449"/>
        <v>2270.98897088856</v>
      </c>
      <c r="AI522" s="32">
        <f t="shared" si="450"/>
        <v>1.57035598998783</v>
      </c>
      <c r="AJ522" s="32" t="str">
        <f t="shared" si="431"/>
        <v>1+108,025410845067i</v>
      </c>
      <c r="AK522" s="32">
        <f t="shared" si="451"/>
        <v>108.030039286513</v>
      </c>
      <c r="AL522" s="32">
        <f t="shared" si="452"/>
        <v>1.56153951000403</v>
      </c>
      <c r="AM522" s="32" t="str">
        <f t="shared" si="432"/>
        <v>1-5,13503745635445i</v>
      </c>
      <c r="AN522" s="32">
        <f t="shared" si="453"/>
        <v>5.23150166569439</v>
      </c>
      <c r="AO522" s="32">
        <f t="shared" si="454"/>
        <v>-1.37846301079815</v>
      </c>
      <c r="AP522" s="30" t="str">
        <f t="shared" si="455"/>
        <v>10,7592863655127-57,9686814877741i</v>
      </c>
      <c r="AQ522" s="32">
        <f t="shared" si="456"/>
        <v>35.410960443348</v>
      </c>
      <c r="AR522" s="31">
        <f t="shared" si="457"/>
        <v>-79.4852598268643</v>
      </c>
      <c r="AS522" t="str">
        <f t="shared" si="433"/>
        <v>-0,000272527472527473</v>
      </c>
      <c r="AT522" t="str">
        <f t="shared" si="434"/>
        <v>1,54804271791368i</v>
      </c>
      <c r="AU522">
        <f t="shared" si="458"/>
        <v>1.54804271791368</v>
      </c>
      <c r="AV522">
        <f t="shared" si="459"/>
        <v>1.5707963267949</v>
      </c>
      <c r="AW522" t="str">
        <f t="shared" si="435"/>
        <v>1+79,2569477655292i</v>
      </c>
      <c r="AX522">
        <f t="shared" si="460"/>
        <v>79.2632561096743</v>
      </c>
      <c r="AY522">
        <f t="shared" si="461"/>
        <v>1.55817980586189</v>
      </c>
      <c r="AZ522" t="str">
        <f t="shared" si="436"/>
        <v>1+3789,15663040731i</v>
      </c>
      <c r="BA522">
        <f t="shared" si="462"/>
        <v>3789.15676236279</v>
      </c>
      <c r="BB522">
        <f t="shared" si="463"/>
        <v>1.5705324158315</v>
      </c>
      <c r="BC522" s="30" t="str">
        <f t="shared" si="464"/>
        <v>-0,000103955074955232+0,00841520842643079i</v>
      </c>
      <c r="BD522" s="32">
        <f t="shared" si="465"/>
        <v>-41.4980397668252</v>
      </c>
      <c r="BE522" s="31">
        <f t="shared" si="466"/>
        <v>90.7077524172301</v>
      </c>
      <c r="BF522" s="30" t="str">
        <f t="shared" si="467"/>
        <v>-0,00042534375330785-0,00549691502665116i</v>
      </c>
      <c r="BG522" s="68">
        <f t="shared" si="468"/>
        <v>-45.1716938911755</v>
      </c>
      <c r="BH522" s="31">
        <f t="shared" si="469"/>
        <v>-94.4246521740507</v>
      </c>
      <c r="BI522" s="30" t="str">
        <f t="shared" si="476"/>
        <v>0,486700054504407+0,0965677759145619i</v>
      </c>
      <c r="BJ522" s="68">
        <f t="shared" si="470"/>
        <v>-6.0870793234772</v>
      </c>
      <c r="BK522" s="31">
        <f t="shared" si="477"/>
        <v>11.2224925903658</v>
      </c>
      <c r="BL522" s="32">
        <f t="shared" si="471"/>
        <v>-45.1716938911755</v>
      </c>
      <c r="BM522" s="31">
        <f t="shared" si="472"/>
        <v>-94.4246521740507</v>
      </c>
      <c r="BO522">
        <f t="shared" si="473"/>
        <v>0</v>
      </c>
      <c r="BP522">
        <f t="shared" si="474"/>
        <v>0</v>
      </c>
    </row>
    <row r="523" spans="14:68">
      <c r="N523" s="7">
        <v>5</v>
      </c>
      <c r="O523" s="18">
        <f t="shared" si="478"/>
        <v>1122018.45430196</v>
      </c>
      <c r="P523" s="86" t="str">
        <f t="shared" si="425"/>
        <v>96,0576923076923</v>
      </c>
      <c r="Q523" s="4" t="str">
        <f t="shared" si="426"/>
        <v>1+9410,46497942952i</v>
      </c>
      <c r="R523" s="4">
        <f t="shared" si="437"/>
        <v>9410.46503256186</v>
      </c>
      <c r="S523" s="4">
        <f t="shared" si="438"/>
        <v>1.57069006212058</v>
      </c>
      <c r="T523" s="4" t="str">
        <f t="shared" si="427"/>
        <v>1+110,541645906006i</v>
      </c>
      <c r="U523" s="4">
        <f t="shared" si="439"/>
        <v>110.546168995623</v>
      </c>
      <c r="V523" s="4">
        <f t="shared" si="440"/>
        <v>1.56175020925032</v>
      </c>
      <c r="W523" t="str">
        <f t="shared" si="428"/>
        <v>1-52,4822156724942i</v>
      </c>
      <c r="X523" s="4">
        <f t="shared" si="441"/>
        <v>52.491741844734</v>
      </c>
      <c r="Y523" s="4">
        <f t="shared" si="442"/>
        <v>-1.55174455860442</v>
      </c>
      <c r="Z523" t="str">
        <f t="shared" si="429"/>
        <v>-9,2769421370952+89,9645020271424i</v>
      </c>
      <c r="AA523" s="4">
        <f t="shared" si="443"/>
        <v>90.4415462075186</v>
      </c>
      <c r="AB523" s="4">
        <f t="shared" si="444"/>
        <v>1.67355095427163</v>
      </c>
      <c r="AC523" s="67" t="str">
        <f t="shared" si="445"/>
        <v>-0,652110796263683+0,0605867441034254i</v>
      </c>
      <c r="AD523" s="68">
        <f t="shared" si="446"/>
        <v>-3.67624467990236</v>
      </c>
      <c r="AE523" s="31">
        <f t="shared" si="447"/>
        <v>174.691963590786</v>
      </c>
      <c r="AF523" s="32" t="str">
        <f t="shared" si="448"/>
        <v>236,914774604583</v>
      </c>
      <c r="AG523" s="32" t="str">
        <f t="shared" si="430"/>
        <v>1+2323,88687416034i</v>
      </c>
      <c r="AH523" s="32">
        <f t="shared" si="449"/>
        <v>2323.8870893171</v>
      </c>
      <c r="AI523" s="32">
        <f t="shared" si="450"/>
        <v>1.57036601327603</v>
      </c>
      <c r="AJ523" s="32" t="str">
        <f t="shared" si="431"/>
        <v>1+110,541645906006i</v>
      </c>
      <c r="AK523" s="32">
        <f t="shared" si="451"/>
        <v>110.546168995623</v>
      </c>
      <c r="AL523" s="32">
        <f t="shared" si="452"/>
        <v>1.56175020925032</v>
      </c>
      <c r="AM523" s="32" t="str">
        <f t="shared" si="432"/>
        <v>1-5,25464784418666i</v>
      </c>
      <c r="AN523" s="32">
        <f t="shared" si="453"/>
        <v>5.3489554089014</v>
      </c>
      <c r="AO523" s="32">
        <f t="shared" si="454"/>
        <v>-1.38273740798791</v>
      </c>
      <c r="AP523" s="30" t="str">
        <f t="shared" si="455"/>
        <v>10,7592843919036-59,3143590938453i</v>
      </c>
      <c r="AQ523" s="32">
        <f t="shared" si="456"/>
        <v>35.6037959229595</v>
      </c>
      <c r="AR523" s="31">
        <f t="shared" si="457"/>
        <v>-79.7186668603512</v>
      </c>
      <c r="AS523" t="str">
        <f t="shared" si="433"/>
        <v>-0,000272527472527473</v>
      </c>
      <c r="AT523" t="str">
        <f t="shared" si="434"/>
        <v>1,58410126499231i</v>
      </c>
      <c r="AU523">
        <f t="shared" si="458"/>
        <v>1.58410126499231</v>
      </c>
      <c r="AV523">
        <f t="shared" si="459"/>
        <v>1.5707963267949</v>
      </c>
      <c r="AW523" t="str">
        <f t="shared" si="435"/>
        <v>1+81,1030792380272i</v>
      </c>
      <c r="AX523">
        <f t="shared" si="460"/>
        <v>81.1092439977696</v>
      </c>
      <c r="AY523">
        <f t="shared" si="461"/>
        <v>1.55846696349803</v>
      </c>
      <c r="AZ523" t="str">
        <f t="shared" si="436"/>
        <v>1+3877,41742654993i</v>
      </c>
      <c r="BA523">
        <f t="shared" si="462"/>
        <v>3877.41755550174</v>
      </c>
      <c r="BB523">
        <f t="shared" si="463"/>
        <v>1.57053842317818</v>
      </c>
      <c r="BC523" s="30" t="str">
        <f t="shared" si="464"/>
        <v>-0,000099277037057131+0,0082237125765607i</v>
      </c>
      <c r="BD523" s="32">
        <f t="shared" si="465"/>
        <v>-41.6980086685695</v>
      </c>
      <c r="BE523" s="31">
        <f t="shared" si="466"/>
        <v>90.6916436922348</v>
      </c>
      <c r="BF523" s="30" t="str">
        <f t="shared" si="467"/>
        <v>-0,000433508341770179-0,00536878662898419i</v>
      </c>
      <c r="BG523" s="68">
        <f t="shared" si="468"/>
        <v>-45.3742533484719</v>
      </c>
      <c r="BH523" s="31">
        <f t="shared" si="469"/>
        <v>-94.6163927169787</v>
      </c>
      <c r="BI523" s="30" t="str">
        <f t="shared" si="476"/>
        <v>0,48671609097541+0,0943698161942705i</v>
      </c>
      <c r="BJ523" s="68">
        <f t="shared" si="470"/>
        <v>-6.09421274560997</v>
      </c>
      <c r="BK523" s="31">
        <f t="shared" si="477"/>
        <v>10.9729768318836</v>
      </c>
      <c r="BL523" s="32">
        <f t="shared" si="471"/>
        <v>-45.3742533484719</v>
      </c>
      <c r="BM523" s="31">
        <f t="shared" si="472"/>
        <v>-94.6163927169787</v>
      </c>
      <c r="BO523">
        <f t="shared" si="473"/>
        <v>0</v>
      </c>
      <c r="BP523">
        <f t="shared" si="474"/>
        <v>0</v>
      </c>
    </row>
    <row r="524" spans="14:68">
      <c r="N524" s="7">
        <v>6</v>
      </c>
      <c r="O524" s="18">
        <f t="shared" si="478"/>
        <v>1148153.62149688</v>
      </c>
      <c r="P524" s="86" t="str">
        <f t="shared" si="425"/>
        <v>96,0576923076923</v>
      </c>
      <c r="Q524" s="4" t="str">
        <f t="shared" si="426"/>
        <v>1+9629,66286755368i</v>
      </c>
      <c r="R524" s="4">
        <f t="shared" si="437"/>
        <v>9629.66291947658</v>
      </c>
      <c r="S524" s="4">
        <f t="shared" si="438"/>
        <v>1.57069248099986</v>
      </c>
      <c r="T524" s="4" t="str">
        <f t="shared" si="427"/>
        <v>1+113,116491610796i</v>
      </c>
      <c r="U524" s="4">
        <f t="shared" si="439"/>
        <v>113.120911746393</v>
      </c>
      <c r="V524" s="4">
        <f t="shared" si="440"/>
        <v>1.56195611317235</v>
      </c>
      <c r="W524" t="str">
        <f t="shared" si="428"/>
        <v>1-53,7046835170305i</v>
      </c>
      <c r="X524" s="4">
        <f t="shared" si="441"/>
        <v>53.7139928851357</v>
      </c>
      <c r="Y524" s="4">
        <f t="shared" si="442"/>
        <v>-1.55217812841668</v>
      </c>
      <c r="Z524" t="str">
        <f t="shared" si="429"/>
        <v>-9,7612794984197+92,0600444784025i</v>
      </c>
      <c r="AA524" s="4">
        <f t="shared" si="443"/>
        <v>92.576100408322</v>
      </c>
      <c r="AB524" s="4">
        <f t="shared" si="444"/>
        <v>1.6764332864829</v>
      </c>
      <c r="AC524" s="67" t="str">
        <f t="shared" si="445"/>
        <v>-0,651716073111236+0,0625965907708825i</v>
      </c>
      <c r="AD524" s="68">
        <f t="shared" si="446"/>
        <v>-3.67894970199321</v>
      </c>
      <c r="AE524" s="31">
        <f t="shared" si="447"/>
        <v>174.513635233703</v>
      </c>
      <c r="AF524" s="32" t="str">
        <f t="shared" si="448"/>
        <v>236,914774604583</v>
      </c>
      <c r="AG524" s="32" t="str">
        <f t="shared" si="430"/>
        <v>1+2378,0171531815i</v>
      </c>
      <c r="AH524" s="32">
        <f t="shared" si="449"/>
        <v>2378.0173634407</v>
      </c>
      <c r="AI524" s="32">
        <f t="shared" si="450"/>
        <v>1.57037580840641</v>
      </c>
      <c r="AJ524" s="32" t="str">
        <f t="shared" si="431"/>
        <v>1+113,116491610796i</v>
      </c>
      <c r="AK524" s="32">
        <f t="shared" si="451"/>
        <v>113.120911746393</v>
      </c>
      <c r="AL524" s="32">
        <f t="shared" si="452"/>
        <v>1.56195611317235</v>
      </c>
      <c r="AM524" s="32" t="str">
        <f t="shared" si="432"/>
        <v>1-5,37704431585938i</v>
      </c>
      <c r="AN524" s="32">
        <f t="shared" si="453"/>
        <v>5.4692417732914</v>
      </c>
      <c r="AO524" s="32">
        <f t="shared" si="454"/>
        <v>-1.38692123833682</v>
      </c>
      <c r="AP524" s="30" t="str">
        <f t="shared" si="455"/>
        <v>10,7592825071214-60,69148595815i</v>
      </c>
      <c r="AQ524" s="32">
        <f t="shared" si="456"/>
        <v>35.7969428596017</v>
      </c>
      <c r="AR524" s="31">
        <f t="shared" si="457"/>
        <v>-79.9471464754551</v>
      </c>
      <c r="AS524" t="str">
        <f t="shared" si="433"/>
        <v>-0,000272527472527473</v>
      </c>
      <c r="AT524" t="str">
        <f t="shared" si="434"/>
        <v>1,62099972352971i</v>
      </c>
      <c r="AU524">
        <f t="shared" si="458"/>
        <v>1.62099972352971</v>
      </c>
      <c r="AV524">
        <f t="shared" si="459"/>
        <v>1.5707963267949</v>
      </c>
      <c r="AW524" t="str">
        <f t="shared" si="435"/>
        <v>1+82,992212636664i</v>
      </c>
      <c r="AX524">
        <f t="shared" si="460"/>
        <v>82.9982370796468</v>
      </c>
      <c r="AY524">
        <f t="shared" si="461"/>
        <v>1.55874758659326</v>
      </c>
      <c r="AZ524" t="str">
        <f t="shared" si="436"/>
        <v>1+3967,73408073582i</v>
      </c>
      <c r="BA524">
        <f t="shared" si="462"/>
        <v>3967.73420675233</v>
      </c>
      <c r="BB524">
        <f t="shared" si="463"/>
        <v>1.57054429378097</v>
      </c>
      <c r="BC524" s="30" t="str">
        <f t="shared" si="464"/>
        <v>-0,0000948094829788973+0,00803657185526089i</v>
      </c>
      <c r="BD524" s="32">
        <f t="shared" si="465"/>
        <v>-41.8979789697579</v>
      </c>
      <c r="BE524" s="31">
        <f t="shared" si="466"/>
        <v>90.6759015340075</v>
      </c>
      <c r="BF524" s="30" t="str">
        <f t="shared" si="467"/>
        <v>-0,000441273135683844-0,00524349780119414i</v>
      </c>
      <c r="BG524" s="68">
        <f t="shared" si="468"/>
        <v>-45.5769286717511</v>
      </c>
      <c r="BH524" s="31">
        <f t="shared" si="469"/>
        <v>-94.8104632322897</v>
      </c>
      <c r="BI524" s="30" t="str">
        <f t="shared" si="476"/>
        <v>0,486731405893506+0,0922218753844459i</v>
      </c>
      <c r="BJ524" s="68">
        <f t="shared" si="470"/>
        <v>-6.1010361101562</v>
      </c>
      <c r="BK524" s="31">
        <f t="shared" si="477"/>
        <v>10.7287550585524</v>
      </c>
      <c r="BL524" s="32">
        <f t="shared" si="471"/>
        <v>-45.5769286717511</v>
      </c>
      <c r="BM524" s="31">
        <f t="shared" si="472"/>
        <v>-94.8104632322897</v>
      </c>
      <c r="BO524">
        <f t="shared" si="473"/>
        <v>0</v>
      </c>
      <c r="BP524">
        <f t="shared" si="474"/>
        <v>0</v>
      </c>
    </row>
    <row r="525" spans="14:68">
      <c r="N525" s="7">
        <v>7</v>
      </c>
      <c r="O525" s="18">
        <f t="shared" si="478"/>
        <v>1174897.55493953</v>
      </c>
      <c r="P525" s="86" t="str">
        <f t="shared" si="425"/>
        <v>96,0576923076923</v>
      </c>
      <c r="Q525" s="4" t="str">
        <f t="shared" si="426"/>
        <v>1+9853,9665303939i</v>
      </c>
      <c r="R525" s="4">
        <f t="shared" si="437"/>
        <v>9853.96658113489</v>
      </c>
      <c r="S525" s="4">
        <f t="shared" si="438"/>
        <v>1.57069484481873</v>
      </c>
      <c r="T525" s="4" t="str">
        <f t="shared" si="427"/>
        <v>1+115,751313176713i</v>
      </c>
      <c r="U525" s="4">
        <f t="shared" si="439"/>
        <v>115.755632701539</v>
      </c>
      <c r="V525" s="4">
        <f t="shared" si="440"/>
        <v>1.56215733087325</v>
      </c>
      <c r="W525" t="str">
        <f t="shared" si="428"/>
        <v>1-54,9556262956332i</v>
      </c>
      <c r="X525" s="4">
        <f t="shared" si="441"/>
        <v>54.9647237921314</v>
      </c>
      <c r="Y525" s="4">
        <f t="shared" si="442"/>
        <v>-1.5526018357398</v>
      </c>
      <c r="Z525" t="str">
        <f t="shared" si="429"/>
        <v>-10,2684429763502+94,2043983838041i</v>
      </c>
      <c r="AA525" s="4">
        <f t="shared" si="443"/>
        <v>94.7623849215132</v>
      </c>
      <c r="AB525" s="4">
        <f t="shared" si="444"/>
        <v>1.67936941759357</v>
      </c>
      <c r="AC525" s="67" t="str">
        <f t="shared" si="445"/>
        <v>-0,651303085872834+0,0646353135916534i</v>
      </c>
      <c r="AD525" s="68">
        <f t="shared" si="446"/>
        <v>-3.68177470781987</v>
      </c>
      <c r="AE525" s="31">
        <f t="shared" si="447"/>
        <v>174.33252415978</v>
      </c>
      <c r="AF525" s="32" t="str">
        <f t="shared" si="448"/>
        <v>236,914774604583</v>
      </c>
      <c r="AG525" s="32" t="str">
        <f t="shared" si="430"/>
        <v>1+2433,40828837407i</v>
      </c>
      <c r="AH525" s="32">
        <f t="shared" si="449"/>
        <v>2433.40849384718</v>
      </c>
      <c r="AI525" s="32">
        <f t="shared" si="450"/>
        <v>1.57038538057248</v>
      </c>
      <c r="AJ525" s="32" t="str">
        <f t="shared" si="431"/>
        <v>1+115,751313176713i</v>
      </c>
      <c r="AK525" s="32">
        <f t="shared" si="451"/>
        <v>115.755632701539</v>
      </c>
      <c r="AL525" s="32">
        <f t="shared" si="452"/>
        <v>1.56215733087325</v>
      </c>
      <c r="AM525" s="32" t="str">
        <f t="shared" si="432"/>
        <v>1-5,50229176760198i</v>
      </c>
      <c r="AN525" s="32">
        <f t="shared" si="453"/>
        <v>5.59242475996061</v>
      </c>
      <c r="AO525" s="32">
        <f t="shared" si="454"/>
        <v>-1.39101613399709</v>
      </c>
      <c r="AP525" s="30" t="str">
        <f t="shared" si="455"/>
        <v>10,7592807071685-62,1007922515857i</v>
      </c>
      <c r="AQ525" s="32">
        <f t="shared" si="456"/>
        <v>35.9903881715804</v>
      </c>
      <c r="AR525" s="31">
        <f t="shared" si="457"/>
        <v>-80.1707862340275</v>
      </c>
      <c r="AS525" t="str">
        <f t="shared" si="433"/>
        <v>-0,000272527472527473</v>
      </c>
      <c r="AT525" t="str">
        <f t="shared" si="434"/>
        <v>1,658757657577i</v>
      </c>
      <c r="AU525">
        <f t="shared" si="458"/>
        <v>1.658757657577</v>
      </c>
      <c r="AV525">
        <f t="shared" si="459"/>
        <v>1.5707963267949</v>
      </c>
      <c r="AW525" t="str">
        <f t="shared" si="435"/>
        <v>1+84,9253496049728i</v>
      </c>
      <c r="AX525">
        <f t="shared" si="460"/>
        <v>84.9312369245077</v>
      </c>
      <c r="AY525">
        <f t="shared" si="461"/>
        <v>1.55902182376076</v>
      </c>
      <c r="AZ525" t="str">
        <f t="shared" si="436"/>
        <v>1+4060,1544800505i</v>
      </c>
      <c r="BA525">
        <f t="shared" si="462"/>
        <v>4060.15460319852</v>
      </c>
      <c r="BB525">
        <f t="shared" si="463"/>
        <v>1.57055003075254</v>
      </c>
      <c r="BC525" s="30" t="str">
        <f t="shared" si="464"/>
        <v>-0,0000905429448922869+0,00785368738453415i</v>
      </c>
      <c r="BD525" s="32">
        <f t="shared" si="465"/>
        <v>-42.0979506074233</v>
      </c>
      <c r="BE525" s="31">
        <f t="shared" si="466"/>
        <v>90.6605176059825</v>
      </c>
      <c r="BF525" s="30" t="str">
        <f t="shared" si="467"/>
        <v>-0,000448654647537817-0,00512098310066426i</v>
      </c>
      <c r="BG525" s="68">
        <f t="shared" si="468"/>
        <v>-45.7797253152432</v>
      </c>
      <c r="BH525" s="31">
        <f t="shared" si="469"/>
        <v>-95.0069582342374</v>
      </c>
      <c r="BI525" s="30" t="str">
        <f t="shared" si="476"/>
        <v>0,486746031715705+0,0901228157671536i</v>
      </c>
      <c r="BJ525" s="68">
        <f t="shared" si="470"/>
        <v>-6.10756243584292</v>
      </c>
      <c r="BK525" s="31">
        <f t="shared" si="477"/>
        <v>10.4897313719549</v>
      </c>
      <c r="BL525" s="32">
        <f t="shared" si="471"/>
        <v>-45.7797253152432</v>
      </c>
      <c r="BM525" s="31">
        <f t="shared" si="472"/>
        <v>-95.0069582342374</v>
      </c>
      <c r="BO525">
        <f t="shared" si="473"/>
        <v>0</v>
      </c>
      <c r="BP525">
        <f t="shared" si="474"/>
        <v>0</v>
      </c>
    </row>
    <row r="526" spans="14:68">
      <c r="N526" s="7">
        <v>8</v>
      </c>
      <c r="O526" s="18">
        <f t="shared" si="478"/>
        <v>1202264.43461742</v>
      </c>
      <c r="P526" s="86" t="str">
        <f t="shared" si="425"/>
        <v>96,0576923076923</v>
      </c>
      <c r="Q526" s="4" t="str">
        <f t="shared" si="426"/>
        <v>1+10083,4948967212i</v>
      </c>
      <c r="R526" s="4">
        <f t="shared" si="437"/>
        <v>10083.4949463072</v>
      </c>
      <c r="S526" s="4">
        <f t="shared" si="438"/>
        <v>1.57069715483052</v>
      </c>
      <c r="T526" s="4" t="str">
        <f t="shared" si="427"/>
        <v>1+118,447507621026i</v>
      </c>
      <c r="U526" s="4">
        <f t="shared" si="439"/>
        <v>118.451728825007</v>
      </c>
      <c r="V526" s="4">
        <f t="shared" si="440"/>
        <v>1.56235396897607</v>
      </c>
      <c r="W526" t="str">
        <f t="shared" si="428"/>
        <v>1-56,2357072747217i</v>
      </c>
      <c r="X526" s="4">
        <f t="shared" si="441"/>
        <v>56.2445977200316</v>
      </c>
      <c r="Y526" s="4">
        <f t="shared" si="442"/>
        <v>-1.55301590462013</v>
      </c>
      <c r="Z526" t="str">
        <f t="shared" si="429"/>
        <v>-10,79950833262+96,3987007081717i</v>
      </c>
      <c r="AA526" s="4">
        <f t="shared" si="443"/>
        <v>97.0017467804059</v>
      </c>
      <c r="AB526" s="4">
        <f t="shared" si="444"/>
        <v>1.68236074869887</v>
      </c>
      <c r="AC526" s="67" t="str">
        <f t="shared" si="445"/>
        <v>-0,65087103058672+0,0667036936072281i</v>
      </c>
      <c r="AD526" s="68">
        <f t="shared" si="446"/>
        <v>-3.68472544823423</v>
      </c>
      <c r="AE526" s="31">
        <f t="shared" si="447"/>
        <v>174.148543292507</v>
      </c>
      <c r="AF526" s="32" t="str">
        <f t="shared" si="448"/>
        <v>236,914774604583</v>
      </c>
      <c r="AG526" s="32" t="str">
        <f t="shared" si="430"/>
        <v>1+2490,0896488511i</v>
      </c>
      <c r="AH526" s="32">
        <f t="shared" si="449"/>
        <v>2490.08984964707</v>
      </c>
      <c r="AI526" s="32">
        <f t="shared" si="450"/>
        <v>1.57039473484952</v>
      </c>
      <c r="AJ526" s="32" t="str">
        <f t="shared" si="431"/>
        <v>1+118,447507621026i</v>
      </c>
      <c r="AK526" s="32">
        <f t="shared" si="451"/>
        <v>118.451728825007</v>
      </c>
      <c r="AL526" s="32">
        <f t="shared" si="452"/>
        <v>1.56235396897607</v>
      </c>
      <c r="AM526" s="32" t="str">
        <f t="shared" si="432"/>
        <v>1-5,63045660727122i</v>
      </c>
      <c r="AN526" s="32">
        <f t="shared" si="453"/>
        <v>5.7185698917093</v>
      </c>
      <c r="AO526" s="32">
        <f t="shared" si="454"/>
        <v>-1.39502371655587</v>
      </c>
      <c r="AP526" s="30" t="str">
        <f t="shared" si="455"/>
        <v>10,7592789882267-63,5430252070079i</v>
      </c>
      <c r="AQ526" s="32">
        <f t="shared" si="456"/>
        <v>36.1841192875576</v>
      </c>
      <c r="AR526" s="31">
        <f t="shared" si="457"/>
        <v>-80.3896732279073</v>
      </c>
      <c r="AS526" t="str">
        <f t="shared" si="433"/>
        <v>-0,000272527472527473</v>
      </c>
      <c r="AT526" t="str">
        <f t="shared" si="434"/>
        <v>1,69739508689059i</v>
      </c>
      <c r="AU526">
        <f t="shared" si="458"/>
        <v>1.69739508689059</v>
      </c>
      <c r="AV526">
        <f t="shared" si="459"/>
        <v>1.5707963267949</v>
      </c>
      <c r="AW526" t="str">
        <f t="shared" si="435"/>
        <v>1+86,9035151177622i</v>
      </c>
      <c r="AX526">
        <f t="shared" si="460"/>
        <v>86.9092684345181</v>
      </c>
      <c r="AY526">
        <f t="shared" si="461"/>
        <v>1.55928982023962</v>
      </c>
      <c r="AZ526" t="str">
        <f t="shared" si="436"/>
        <v>1+4154,72762701301i</v>
      </c>
      <c r="BA526">
        <f t="shared" si="462"/>
        <v>4154.72774735784</v>
      </c>
      <c r="BB526">
        <f t="shared" si="463"/>
        <v>1.57055563713472</v>
      </c>
      <c r="BC526" s="30" t="str">
        <f t="shared" si="464"/>
        <v>-0,0000864683806073614+0,00767496251998772i</v>
      </c>
      <c r="BD526" s="32">
        <f t="shared" si="465"/>
        <v>-42.297923521431</v>
      </c>
      <c r="BE526" s="31">
        <f t="shared" si="466"/>
        <v>90.6454837608564</v>
      </c>
      <c r="BF526" s="30" t="str">
        <f t="shared" si="467"/>
        <v>-0,000455668584381142-0,0050011785254656i</v>
      </c>
      <c r="BG526" s="68">
        <f t="shared" si="468"/>
        <v>-45.9826489696652</v>
      </c>
      <c r="BH526" s="31">
        <f t="shared" si="469"/>
        <v>-95.2059729466365</v>
      </c>
      <c r="BI526" s="30" t="str">
        <f t="shared" si="476"/>
        <v>0,486759999439806+0,0880715254652741i</v>
      </c>
      <c r="BJ526" s="68">
        <f t="shared" si="470"/>
        <v>-6.11380423387336</v>
      </c>
      <c r="BK526" s="31">
        <f t="shared" si="477"/>
        <v>10.255810532949</v>
      </c>
      <c r="BL526" s="32">
        <f t="shared" si="471"/>
        <v>-45.9826489696652</v>
      </c>
      <c r="BM526" s="31">
        <f t="shared" si="472"/>
        <v>-95.2059729466365</v>
      </c>
      <c r="BO526">
        <f t="shared" si="473"/>
        <v>0</v>
      </c>
      <c r="BP526">
        <f t="shared" si="474"/>
        <v>0</v>
      </c>
    </row>
    <row r="527" spans="14:68">
      <c r="N527" s="7">
        <v>9</v>
      </c>
      <c r="O527" s="18">
        <f t="shared" si="478"/>
        <v>1230268.77081238</v>
      </c>
      <c r="P527" s="86" t="str">
        <f t="shared" si="425"/>
        <v>96,0576923076923</v>
      </c>
      <c r="Q527" s="4" t="str">
        <f t="shared" si="426"/>
        <v>1+10318,3696655135i</v>
      </c>
      <c r="R527" s="4">
        <f t="shared" si="437"/>
        <v>10318.3697139708</v>
      </c>
      <c r="S527" s="4">
        <f t="shared" si="438"/>
        <v>1.57069941226002</v>
      </c>
      <c r="T527" s="4" t="str">
        <f t="shared" si="427"/>
        <v>1+121,206504501716i</v>
      </c>
      <c r="U527" s="4">
        <f t="shared" si="439"/>
        <v>121.210629622672</v>
      </c>
      <c r="V527" s="4">
        <f t="shared" si="440"/>
        <v>1.56254613168008</v>
      </c>
      <c r="W527" t="str">
        <f t="shared" si="428"/>
        <v>1-57,5456051701741i</v>
      </c>
      <c r="X527" s="4">
        <f t="shared" si="441"/>
        <v>57.5542932751464</v>
      </c>
      <c r="Y527" s="4">
        <f t="shared" si="442"/>
        <v>-1.55342055403418</v>
      </c>
      <c r="Z527" t="str">
        <f t="shared" si="429"/>
        <v>-11,3556020280507+98,6441148996411i</v>
      </c>
      <c r="AA527" s="4">
        <f t="shared" si="443"/>
        <v>99.2955744318601</v>
      </c>
      <c r="AB527" s="4">
        <f t="shared" si="444"/>
        <v>1.68540869937012</v>
      </c>
      <c r="AC527" s="67" t="str">
        <f t="shared" si="445"/>
        <v>-0,650419069590195+0,0688025072024994i</v>
      </c>
      <c r="AD527" s="68">
        <f t="shared" si="446"/>
        <v>-3.68780791798598</v>
      </c>
      <c r="AE527" s="31">
        <f t="shared" si="447"/>
        <v>173.961604650009</v>
      </c>
      <c r="AF527" s="32" t="str">
        <f t="shared" si="448"/>
        <v>236,914774604583</v>
      </c>
      <c r="AG527" s="32" t="str">
        <f t="shared" si="430"/>
        <v>1+2548,09128782016i</v>
      </c>
      <c r="AH527" s="32">
        <f t="shared" si="449"/>
        <v>2548.09148404546</v>
      </c>
      <c r="AI527" s="32">
        <f t="shared" si="450"/>
        <v>1.57040387619729</v>
      </c>
      <c r="AJ527" s="32" t="str">
        <f t="shared" si="431"/>
        <v>1+121,206504501716i</v>
      </c>
      <c r="AK527" s="32">
        <f t="shared" si="451"/>
        <v>121.210629622672</v>
      </c>
      <c r="AL527" s="32">
        <f t="shared" si="452"/>
        <v>1.56254613168008</v>
      </c>
      <c r="AM527" s="32" t="str">
        <f t="shared" si="432"/>
        <v>1-5,76160678956147i</v>
      </c>
      <c r="AN527" s="32">
        <f t="shared" si="453"/>
        <v>5.84774424864159</v>
      </c>
      <c r="AO527" s="32">
        <f t="shared" si="454"/>
        <v>-1.39894559571479</v>
      </c>
      <c r="AP527" s="30" t="str">
        <f t="shared" si="455"/>
        <v>10,75927734665-65,0189495154231i</v>
      </c>
      <c r="AQ527" s="32">
        <f t="shared" si="456"/>
        <v>36.3781241299921</v>
      </c>
      <c r="AR527" s="31">
        <f t="shared" si="457"/>
        <v>-80.6038940002004</v>
      </c>
      <c r="AS527" t="str">
        <f t="shared" si="433"/>
        <v>-0,000272527472527473</v>
      </c>
      <c r="AT527" t="str">
        <f t="shared" si="434"/>
        <v>1,73693249754691i</v>
      </c>
      <c r="AU527">
        <f t="shared" si="458"/>
        <v>1.73693249754691</v>
      </c>
      <c r="AV527">
        <f t="shared" si="459"/>
        <v>1.5707963267949</v>
      </c>
      <c r="AW527" t="str">
        <f t="shared" si="435"/>
        <v>1+88,92775802457i</v>
      </c>
      <c r="AX527">
        <f t="shared" si="460"/>
        <v>88.9333803882236</v>
      </c>
      <c r="AY527">
        <f t="shared" si="461"/>
        <v>1.55955171797104</v>
      </c>
      <c r="AZ527" t="str">
        <f t="shared" si="436"/>
        <v>1+4251,50366555763i</v>
      </c>
      <c r="BA527">
        <f t="shared" si="462"/>
        <v>4251.50378316308</v>
      </c>
      <c r="BB527">
        <f t="shared" si="463"/>
        <v>1.57056111590006</v>
      </c>
      <c r="BC527" s="30" t="str">
        <f t="shared" si="464"/>
        <v>-0,0000825771544581989+0,00750030280113301i</v>
      </c>
      <c r="BD527" s="32">
        <f t="shared" si="465"/>
        <v>-42.4978976543512</v>
      </c>
      <c r="BE527" s="31">
        <f t="shared" si="466"/>
        <v>90.6307920363132</v>
      </c>
      <c r="BF527" s="30" t="str">
        <f t="shared" si="467"/>
        <v>-0,000462329881523773-0,00488402148482204i</v>
      </c>
      <c r="BG527" s="68">
        <f t="shared" si="468"/>
        <v>-46.1857055723371</v>
      </c>
      <c r="BH527" s="31">
        <f t="shared" si="469"/>
        <v>-95.4076033136774</v>
      </c>
      <c r="BI527" s="30" t="str">
        <f t="shared" si="476"/>
        <v>0,486773338669941+0,0860669178580909i</v>
      </c>
      <c r="BJ527" s="68">
        <f t="shared" si="470"/>
        <v>-6.11977352435905</v>
      </c>
      <c r="BK527" s="31">
        <f t="shared" si="477"/>
        <v>10.0268980361128</v>
      </c>
      <c r="BL527" s="32">
        <f t="shared" si="471"/>
        <v>-46.1857055723371</v>
      </c>
      <c r="BM527" s="31">
        <f t="shared" si="472"/>
        <v>-95.4076033136774</v>
      </c>
      <c r="BO527">
        <f t="shared" si="473"/>
        <v>0</v>
      </c>
      <c r="BP527">
        <f t="shared" si="474"/>
        <v>0</v>
      </c>
    </row>
    <row r="528" spans="14:68">
      <c r="N528" s="7">
        <v>10</v>
      </c>
      <c r="O528" s="18">
        <f t="shared" si="478"/>
        <v>1258925.41179417</v>
      </c>
      <c r="P528" s="86" t="str">
        <f t="shared" si="425"/>
        <v>96,0576923076923</v>
      </c>
      <c r="Q528" s="4" t="str">
        <f t="shared" si="426"/>
        <v>1+10558,7153704823i</v>
      </c>
      <c r="R528" s="4">
        <f t="shared" si="437"/>
        <v>10558.7154178365</v>
      </c>
      <c r="S528" s="4">
        <f t="shared" si="438"/>
        <v>1.57070161830415</v>
      </c>
      <c r="T528" s="4" t="str">
        <f t="shared" si="427"/>
        <v>1+124,029766675452i</v>
      </c>
      <c r="U528" s="4">
        <f t="shared" si="439"/>
        <v>124.033797900278</v>
      </c>
      <c r="V528" s="4">
        <f t="shared" si="440"/>
        <v>1.5627339208157</v>
      </c>
      <c r="W528" t="str">
        <f t="shared" si="428"/>
        <v>1-58,8860145071945i</v>
      </c>
      <c r="X528" s="4">
        <f t="shared" si="441"/>
        <v>58.8945048755953</v>
      </c>
      <c r="Y528" s="4">
        <f t="shared" si="442"/>
        <v>-1.55381599800208</v>
      </c>
      <c r="Z528" t="str">
        <f t="shared" si="429"/>
        <v>-11,9379036119276+100,941831506541i</v>
      </c>
      <c r="AA528" s="4">
        <f t="shared" si="443"/>
        <v>101.6452994021</v>
      </c>
      <c r="AB528" s="4">
        <f t="shared" si="444"/>
        <v>1.68851470767328</v>
      </c>
      <c r="AC528" s="67" t="str">
        <f t="shared" si="445"/>
        <v>-0,649946330363832+0,0709325251825273i</v>
      </c>
      <c r="AD528" s="68">
        <f t="shared" si="446"/>
        <v>-3.69102836630264</v>
      </c>
      <c r="AE528" s="31">
        <f t="shared" si="447"/>
        <v>173.771619340603</v>
      </c>
      <c r="AF528" s="32" t="str">
        <f t="shared" si="448"/>
        <v>236,914774604583</v>
      </c>
      <c r="AG528" s="32" t="str">
        <f t="shared" si="430"/>
        <v>1+2607,44395851802i</v>
      </c>
      <c r="AH528" s="32">
        <f t="shared" si="449"/>
        <v>2607.44415027669</v>
      </c>
      <c r="AI528" s="32">
        <f t="shared" si="450"/>
        <v>1.57041280946264</v>
      </c>
      <c r="AJ528" s="32" t="str">
        <f t="shared" si="431"/>
        <v>1+124,029766675452i</v>
      </c>
      <c r="AK528" s="32">
        <f t="shared" si="451"/>
        <v>124.033797900278</v>
      </c>
      <c r="AL528" s="32">
        <f t="shared" si="452"/>
        <v>1.5627339208157</v>
      </c>
      <c r="AM528" s="32" t="str">
        <f t="shared" si="432"/>
        <v>1-5,89581185203548i</v>
      </c>
      <c r="AN528" s="32">
        <f t="shared" si="453"/>
        <v>5.98001650454261</v>
      </c>
      <c r="AO528" s="32">
        <f t="shared" si="454"/>
        <v>-1.40278336808235</v>
      </c>
      <c r="AP528" s="30" t="str">
        <f t="shared" si="455"/>
        <v>10,7592757789564-66,5293477314416i</v>
      </c>
      <c r="AQ528" s="32">
        <f t="shared" si="456"/>
        <v>36.5723910988209</v>
      </c>
      <c r="AR528" s="31">
        <f t="shared" si="457"/>
        <v>-80.8135344730864</v>
      </c>
      <c r="AS528" t="str">
        <f t="shared" si="433"/>
        <v>-0,000272527472527473</v>
      </c>
      <c r="AT528" t="str">
        <f t="shared" si="434"/>
        <v>1,77739085280447i</v>
      </c>
      <c r="AU528">
        <f t="shared" si="458"/>
        <v>1.77739085280447</v>
      </c>
      <c r="AV528">
        <f t="shared" si="459"/>
        <v>1.5707963267949</v>
      </c>
      <c r="AW528" t="str">
        <f t="shared" si="435"/>
        <v>1+90,9991516057813i</v>
      </c>
      <c r="AX528">
        <f t="shared" si="460"/>
        <v>91.0046459966301</v>
      </c>
      <c r="AY528">
        <f t="shared" si="461"/>
        <v>1.55980765567288</v>
      </c>
      <c r="AZ528" t="str">
        <f t="shared" si="436"/>
        <v>1+4350,53390762107i</v>
      </c>
      <c r="BA528">
        <f t="shared" si="462"/>
        <v>4350.53402254949</v>
      </c>
      <c r="BB528">
        <f t="shared" si="463"/>
        <v>1.5705664699535</v>
      </c>
      <c r="BC528" s="30" t="str">
        <f t="shared" si="464"/>
        <v>-0,0000788610190451215+0,00732961590273987i</v>
      </c>
      <c r="BD528" s="32">
        <f t="shared" si="465"/>
        <v>-42.6978729513379</v>
      </c>
      <c r="BE528" s="31">
        <f t="shared" si="466"/>
        <v>90.6164346508446</v>
      </c>
      <c r="BF528" s="30" t="str">
        <f t="shared" si="467"/>
        <v>-0,000468652734662219-0,0047694507701815i</v>
      </c>
      <c r="BG528" s="68">
        <f t="shared" si="468"/>
        <v>-46.3889013176405</v>
      </c>
      <c r="BH528" s="31">
        <f t="shared" si="469"/>
        <v>-95.6119460085524</v>
      </c>
      <c r="BI528" s="30" t="str">
        <f t="shared" si="476"/>
        <v>0,486786077679169+0,0841079310099115i</v>
      </c>
      <c r="BJ528" s="68">
        <f t="shared" si="470"/>
        <v>-6.12548185251697</v>
      </c>
      <c r="BK528" s="31">
        <f t="shared" si="477"/>
        <v>9.80290017775815</v>
      </c>
      <c r="BL528" s="32">
        <f t="shared" si="471"/>
        <v>-46.3889013176405</v>
      </c>
      <c r="BM528" s="31">
        <f t="shared" si="472"/>
        <v>-95.6119460085524</v>
      </c>
      <c r="BO528">
        <f t="shared" si="473"/>
        <v>0</v>
      </c>
      <c r="BP528">
        <f t="shared" si="474"/>
        <v>0</v>
      </c>
    </row>
    <row r="529" spans="14:68">
      <c r="N529" s="7">
        <v>11</v>
      </c>
      <c r="O529" s="18">
        <f t="shared" si="478"/>
        <v>1288249.55169314</v>
      </c>
      <c r="P529" s="86" t="str">
        <f t="shared" si="425"/>
        <v>96,0576923076923</v>
      </c>
      <c r="Q529" s="4" t="str">
        <f t="shared" si="426"/>
        <v>1+10804,6594461017i</v>
      </c>
      <c r="R529" s="4">
        <f t="shared" si="437"/>
        <v>10804.659492378</v>
      </c>
      <c r="S529" s="4">
        <f t="shared" si="438"/>
        <v>1.57070377413258</v>
      </c>
      <c r="T529" s="4" t="str">
        <f t="shared" si="427"/>
        <v>1+126,918791073207i</v>
      </c>
      <c r="U529" s="4">
        <f t="shared" si="439"/>
        <v>126.922730539035</v>
      </c>
      <c r="V529" s="4">
        <f t="shared" si="440"/>
        <v>1.56291743589819</v>
      </c>
      <c r="W529" t="str">
        <f t="shared" si="428"/>
        <v>1-60,2576459885551i</v>
      </c>
      <c r="X529" s="4">
        <f t="shared" si="441"/>
        <v>60.2659431194935</v>
      </c>
      <c r="Y529" s="4">
        <f t="shared" si="442"/>
        <v>-1.55420244569846</v>
      </c>
      <c r="Z529" t="str">
        <f t="shared" si="429"/>
        <v>-12,5476482239803+103,293068808628i</v>
      </c>
      <c r="AA529" s="4">
        <f t="shared" si="443"/>
        <v>104.052398049525</v>
      </c>
      <c r="AB529" s="4">
        <f t="shared" si="444"/>
        <v>1.69168023014933</v>
      </c>
      <c r="AC529" s="67" t="str">
        <f t="shared" si="445"/>
        <v>-0,649451904357403+0,0730945117653017i</v>
      </c>
      <c r="AD529" s="68">
        <f t="shared" si="446"/>
        <v>-3.69439330781356</v>
      </c>
      <c r="AE529" s="31">
        <f t="shared" si="447"/>
        <v>173.578497560599</v>
      </c>
      <c r="AF529" s="32" t="str">
        <f t="shared" si="448"/>
        <v>236,914774604583</v>
      </c>
      <c r="AG529" s="32" t="str">
        <f t="shared" si="430"/>
        <v>1+2668,17913051629i</v>
      </c>
      <c r="AH529" s="32">
        <f t="shared" si="449"/>
        <v>2668.17931791</v>
      </c>
      <c r="AI529" s="32">
        <f t="shared" si="450"/>
        <v>1.57042153938211</v>
      </c>
      <c r="AJ529" s="32" t="str">
        <f t="shared" si="431"/>
        <v>1+126,918791073207i</v>
      </c>
      <c r="AK529" s="32">
        <f t="shared" si="451"/>
        <v>126.922730539035</v>
      </c>
      <c r="AL529" s="32">
        <f t="shared" si="452"/>
        <v>1.56291743589819</v>
      </c>
      <c r="AM529" s="32" t="str">
        <f t="shared" si="432"/>
        <v>1-6,03314295199374i</v>
      </c>
      <c r="AN529" s="32">
        <f t="shared" si="453"/>
        <v>6.1154569640536</v>
      </c>
      <c r="AO529" s="32">
        <f t="shared" si="454"/>
        <v>-1.40653861607286</v>
      </c>
      <c r="AP529" s="30" t="str">
        <f t="shared" si="455"/>
        <v>10,7592742818206-68,075020688193i</v>
      </c>
      <c r="AQ529" s="32">
        <f t="shared" si="456"/>
        <v>36.7669090554077</v>
      </c>
      <c r="AR529" s="31">
        <f t="shared" si="457"/>
        <v>-81.0186798818044</v>
      </c>
      <c r="AS529" t="str">
        <f t="shared" si="433"/>
        <v>-0,000272527472527473</v>
      </c>
      <c r="AT529" t="str">
        <f t="shared" si="434"/>
        <v>1,81879160421873i</v>
      </c>
      <c r="AU529">
        <f t="shared" si="458"/>
        <v>1.81879160421873</v>
      </c>
      <c r="AV529">
        <f t="shared" si="459"/>
        <v>1.5707963267949</v>
      </c>
      <c r="AW529" t="str">
        <f t="shared" si="435"/>
        <v>1+93,1187941416903i</v>
      </c>
      <c r="AX529">
        <f t="shared" si="460"/>
        <v>93.1241634722293</v>
      </c>
      <c r="AY529">
        <f t="shared" si="461"/>
        <v>1.5600577689125</v>
      </c>
      <c r="AZ529" t="str">
        <f t="shared" si="436"/>
        <v>1+4451,87086034846i</v>
      </c>
      <c r="BA529">
        <f t="shared" si="462"/>
        <v>4451.87097266079</v>
      </c>
      <c r="BB529">
        <f t="shared" si="463"/>
        <v>1.57057170213382</v>
      </c>
      <c r="BC529" s="30" t="str">
        <f t="shared" si="464"/>
        <v>-0,0000753120977952719+0,00716281158722826i</v>
      </c>
      <c r="BD529" s="32">
        <f t="shared" si="465"/>
        <v>-42.8978493600121</v>
      </c>
      <c r="BE529" s="31">
        <f t="shared" si="466"/>
        <v>90.6024039996637</v>
      </c>
      <c r="BF529" s="30" t="str">
        <f t="shared" si="467"/>
        <v>-0,000474650630501005-0,00465740652689703i</v>
      </c>
      <c r="BG529" s="68">
        <f t="shared" si="468"/>
        <v>-46.5922426678256</v>
      </c>
      <c r="BH529" s="31">
        <f t="shared" si="469"/>
        <v>-95.8190984397369</v>
      </c>
      <c r="BI529" s="30" t="str">
        <f t="shared" si="476"/>
        <v>0,486798243469274+0,082193527111476i</v>
      </c>
      <c r="BJ529" s="68">
        <f t="shared" si="470"/>
        <v>-6.13094030460436</v>
      </c>
      <c r="BK529" s="31">
        <f t="shared" si="477"/>
        <v>9.58372411785924</v>
      </c>
      <c r="BL529" s="32">
        <f t="shared" si="471"/>
        <v>-46.5922426678256</v>
      </c>
      <c r="BM529" s="31">
        <f t="shared" si="472"/>
        <v>-95.8190984397369</v>
      </c>
      <c r="BO529">
        <f t="shared" si="473"/>
        <v>0</v>
      </c>
      <c r="BP529">
        <f t="shared" si="474"/>
        <v>0</v>
      </c>
    </row>
    <row r="530" spans="14:68">
      <c r="N530" s="7">
        <v>12</v>
      </c>
      <c r="O530" s="18">
        <f t="shared" si="478"/>
        <v>1318256.73855641</v>
      </c>
      <c r="P530" s="86" t="str">
        <f t="shared" si="425"/>
        <v>96,0576923076923</v>
      </c>
      <c r="Q530" s="4" t="str">
        <f t="shared" si="426"/>
        <v>1+11056,3322951759i</v>
      </c>
      <c r="R530" s="4">
        <f t="shared" si="437"/>
        <v>11056.3323403989</v>
      </c>
      <c r="S530" s="4">
        <f t="shared" si="438"/>
        <v>1.57070588088837</v>
      </c>
      <c r="T530" s="4" t="str">
        <f t="shared" si="427"/>
        <v>1+129,875109493958i</v>
      </c>
      <c r="U530" s="4">
        <f t="shared" si="439"/>
        <v>129.878959289284</v>
      </c>
      <c r="V530" s="4">
        <f t="shared" si="440"/>
        <v>1.56309677418022</v>
      </c>
      <c r="W530" t="str">
        <f t="shared" si="428"/>
        <v>1-61,6612268714228i</v>
      </c>
      <c r="X530" s="4">
        <f t="shared" si="441"/>
        <v>61.6693351617242</v>
      </c>
      <c r="Y530" s="4">
        <f t="shared" si="442"/>
        <v>-1.55458010156104</v>
      </c>
      <c r="Z530" t="str">
        <f t="shared" si="429"/>
        <v>-13,1861292142808+105,699073463042i</v>
      </c>
      <c r="AA530" s="4">
        <f t="shared" si="443"/>
        <v>106.518393409783</v>
      </c>
      <c r="AB530" s="4">
        <f t="shared" si="444"/>
        <v>1.69490674175384</v>
      </c>
      <c r="AC530" s="67" t="str">
        <f t="shared" si="445"/>
        <v>-0,64893484579984+0,0752892234858303i</v>
      </c>
      <c r="AD530" s="68">
        <f t="shared" si="446"/>
        <v>-3.69790953382275</v>
      </c>
      <c r="AE530" s="31">
        <f t="shared" si="447"/>
        <v>173.382148594527</v>
      </c>
      <c r="AF530" s="32" t="str">
        <f t="shared" si="448"/>
        <v>236,914774604583</v>
      </c>
      <c r="AG530" s="32" t="str">
        <f t="shared" si="430"/>
        <v>1+2730,32900640706i</v>
      </c>
      <c r="AH530" s="32">
        <f t="shared" si="449"/>
        <v>2730.32918953517</v>
      </c>
      <c r="AI530" s="32">
        <f t="shared" si="450"/>
        <v>1.5704300705844</v>
      </c>
      <c r="AJ530" s="32" t="str">
        <f t="shared" si="431"/>
        <v>1+129,875109493958i</v>
      </c>
      <c r="AK530" s="32">
        <f t="shared" si="451"/>
        <v>129.878959289284</v>
      </c>
      <c r="AL530" s="32">
        <f t="shared" si="452"/>
        <v>1.56309677418022</v>
      </c>
      <c r="AM530" s="32" t="str">
        <f t="shared" si="432"/>
        <v>1-6,1736729042032i</v>
      </c>
      <c r="AN530" s="32">
        <f t="shared" si="453"/>
        <v>6.25413760066828</v>
      </c>
      <c r="AO530" s="32">
        <f t="shared" si="454"/>
        <v>-1.41021290690634</v>
      </c>
      <c r="AP530" s="30" t="str">
        <f t="shared" si="455"/>
        <v>10,7592728520671-69,6567879219426i</v>
      </c>
      <c r="AQ530" s="32">
        <f t="shared" si="456"/>
        <v>36.961667306782</v>
      </c>
      <c r="AR530" s="31">
        <f t="shared" si="457"/>
        <v>-81.2194147144864</v>
      </c>
      <c r="AS530" t="str">
        <f t="shared" si="433"/>
        <v>-0,000272527472527473</v>
      </c>
      <c r="AT530" t="str">
        <f t="shared" si="434"/>
        <v>1,86115670301609i</v>
      </c>
      <c r="AU530">
        <f t="shared" si="458"/>
        <v>1.86115670301609</v>
      </c>
      <c r="AV530">
        <f t="shared" si="459"/>
        <v>1.5707963267949</v>
      </c>
      <c r="AW530" t="str">
        <f t="shared" si="435"/>
        <v>1+95,2878094948255i</v>
      </c>
      <c r="AX530">
        <f t="shared" si="460"/>
        <v>95.2930566112881</v>
      </c>
      <c r="AY530">
        <f t="shared" si="461"/>
        <v>1.56030219017801</v>
      </c>
      <c r="AZ530" t="str">
        <f t="shared" si="436"/>
        <v>1+4555,56825393346i</v>
      </c>
      <c r="BA530">
        <f t="shared" si="462"/>
        <v>4555.56836368925</v>
      </c>
      <c r="BB530">
        <f t="shared" si="463"/>
        <v>1.57057681521518</v>
      </c>
      <c r="BC530" s="30" t="str">
        <f t="shared" si="464"/>
        <v>-0,0000719228683049599+0,00699980165807604i</v>
      </c>
      <c r="BD530" s="32">
        <f t="shared" si="465"/>
        <v>-43.097826830351</v>
      </c>
      <c r="BE530" s="31">
        <f t="shared" si="466"/>
        <v>90.5886926507092</v>
      </c>
      <c r="BF530" s="30" t="str">
        <f t="shared" si="467"/>
        <v>-0,000480336375938411-0,00454783022651859i</v>
      </c>
      <c r="BG530" s="68">
        <f t="shared" si="468"/>
        <v>-46.7957363641738</v>
      </c>
      <c r="BH530" s="31">
        <f t="shared" si="469"/>
        <v>-96.0291587547637</v>
      </c>
      <c r="BI530" s="30" t="str">
        <f t="shared" si="476"/>
        <v>0,486809861827868+0,0803226919338482i</v>
      </c>
      <c r="BJ530" s="68">
        <f t="shared" si="470"/>
        <v>-6.13615952356896</v>
      </c>
      <c r="BK530" s="31">
        <f t="shared" si="477"/>
        <v>9.36927793622281</v>
      </c>
      <c r="BL530" s="32">
        <f t="shared" si="471"/>
        <v>-46.7957363641738</v>
      </c>
      <c r="BM530" s="31">
        <f t="shared" si="472"/>
        <v>-96.0291587547637</v>
      </c>
      <c r="BO530">
        <f t="shared" si="473"/>
        <v>0</v>
      </c>
      <c r="BP530">
        <f t="shared" si="474"/>
        <v>0</v>
      </c>
    </row>
    <row r="531" spans="14:68">
      <c r="N531" s="7">
        <v>13</v>
      </c>
      <c r="O531" s="18">
        <f t="shared" si="478"/>
        <v>1348962.88259166</v>
      </c>
      <c r="P531" s="86" t="str">
        <f t="shared" ref="P531:P560" si="479">COMPLEX(Adc,0)</f>
        <v>96,0576923076923</v>
      </c>
      <c r="Q531" s="4" t="str">
        <f t="shared" ref="Q531:Q560" si="480">IMSUM(COMPLEX(1,0),IMDIV(COMPLEX(0,2*PI()*O531),COMPLEX(wp_lf,0)))</f>
        <v>1+11313,8673579809i</v>
      </c>
      <c r="R531" s="4">
        <f t="shared" si="437"/>
        <v>11313.8674021745</v>
      </c>
      <c r="S531" s="4">
        <f t="shared" si="438"/>
        <v>1.57070793968855</v>
      </c>
      <c r="T531" s="4" t="str">
        <f t="shared" ref="T531:T560" si="481">IMSUM(COMPLEX(1,0),IMDIV(COMPLEX(0,2*PI()*O531),COMPLEX(wz_esr,0)))</f>
        <v>1+132,900289416863i</v>
      </c>
      <c r="U531" s="4">
        <f t="shared" si="439"/>
        <v>132.904051582658</v>
      </c>
      <c r="V531" s="4">
        <f t="shared" si="440"/>
        <v>1.56327203070315</v>
      </c>
      <c r="W531" t="str">
        <f t="shared" ref="W531:W560" si="482">IMSUB(COMPLEX(1,0),IMDIV(COMPLEX(0,2*PI()*O531),COMPLEX(wz_rhp,0)))</f>
        <v>1-63,0975013529608i</v>
      </c>
      <c r="X531" s="4">
        <f t="shared" si="441"/>
        <v>63.1054250994864</v>
      </c>
      <c r="Y531" s="4">
        <f t="shared" si="442"/>
        <v>-1.5549491653968</v>
      </c>
      <c r="Z531" t="str">
        <f t="shared" ref="Z531:Z560" si="483">IMSUM(COMPLEX(1,0),IMDIV(COMPLEX(0,2*PI()*O531),COMPLEX(Q*(wsl/2),0)),IMDIV(IMPOWER(COMPLEX(0,2*PI()*O531),2),IMPOWER(COMPLEX(wsl/2,0),2)))</f>
        <v>-13,8547008866123+108,1611211653i</v>
      </c>
      <c r="AA531" s="4">
        <f t="shared" si="443"/>
        <v>109.044857138667</v>
      </c>
      <c r="AB531" s="4">
        <f t="shared" si="444"/>
        <v>1.69819573575232</v>
      </c>
      <c r="AC531" s="67" t="str">
        <f t="shared" si="445"/>
        <v>-0,648394170495811+0,0775174080066464i</v>
      </c>
      <c r="AD531" s="68">
        <f t="shared" si="446"/>
        <v>-3.70158412393621</v>
      </c>
      <c r="AE531" s="31">
        <f t="shared" si="447"/>
        <v>173.182480817945</v>
      </c>
      <c r="AF531" s="32" t="str">
        <f t="shared" si="448"/>
        <v>236,914774604583</v>
      </c>
      <c r="AG531" s="32" t="str">
        <f t="shared" ref="AG531:AG560" si="484">IMSUM(COMPLEX(1,0),IMDIV(COMPLEX(0,2*PI()*O531),COMPLEX(wp_lf_DCM,0)))</f>
        <v>1+2793,92653887723i</v>
      </c>
      <c r="AH531" s="32">
        <f t="shared" si="449"/>
        <v>2793.92671783683</v>
      </c>
      <c r="AI531" s="32">
        <f t="shared" si="450"/>
        <v>1.57043840759288</v>
      </c>
      <c r="AJ531" s="32" t="str">
        <f t="shared" ref="AJ531:AJ560" si="485">IMSUM(COMPLEX(1,0),IMDIV(COMPLEX(0,2*PI()*O531),COMPLEX(wz1_dcm,0)))</f>
        <v>1+132,900289416863i</v>
      </c>
      <c r="AK531" s="32">
        <f t="shared" si="451"/>
        <v>132.904051582658</v>
      </c>
      <c r="AL531" s="32">
        <f t="shared" si="452"/>
        <v>1.56327203070315</v>
      </c>
      <c r="AM531" s="32" t="str">
        <f t="shared" ref="AM531:AM560" si="486">IMSUB(COMPLEX(1,0),IMDIV(COMPLEX(0,2*PI()*O531),COMPLEX(wz2_dcm,0)))</f>
        <v>1-6,31747621950472i</v>
      </c>
      <c r="AN531" s="32">
        <f t="shared" si="453"/>
        <v>6.39613209557211</v>
      </c>
      <c r="AO531" s="32">
        <f t="shared" si="454"/>
        <v>-1.41380779170369</v>
      </c>
      <c r="AP531" s="30" t="str">
        <f t="shared" si="455"/>
        <v>10,759271486663-71,2754881066176i</v>
      </c>
      <c r="AQ531" s="32">
        <f t="shared" si="456"/>
        <v>37.1566555901878</v>
      </c>
      <c r="AR531" s="31">
        <f t="shared" si="457"/>
        <v>-81.4158226575142</v>
      </c>
      <c r="AS531" t="str">
        <f t="shared" ref="AS531:AS560" si="487">COMPLEX(Adc_ea,0)</f>
        <v>-0,000272527472527473</v>
      </c>
      <c r="AT531" t="str">
        <f t="shared" ref="AT531:AT560" si="488">COMPLEX(0,2*PI()*O531*wp0_ea)</f>
        <v>1,90450861173272i</v>
      </c>
      <c r="AU531">
        <f t="shared" si="458"/>
        <v>1.90450861173272</v>
      </c>
      <c r="AV531">
        <f t="shared" si="459"/>
        <v>1.5707963267949</v>
      </c>
      <c r="AW531" t="str">
        <f t="shared" ref="AW531:AW560" si="489">IMSUM(COMPLEX(1,0),IMDIV(COMPLEX(0,2*PI()*O531),COMPLEX(wp1_ea,0)))</f>
        <v>1+97,5073477058387i</v>
      </c>
      <c r="AX531">
        <f t="shared" si="460"/>
        <v>97.5124753897024</v>
      </c>
      <c r="AY531">
        <f t="shared" si="461"/>
        <v>1.56054104894791</v>
      </c>
      <c r="AZ531" t="str">
        <f t="shared" ref="AZ531:AZ560" si="490">IMSUM(COMPLEX(1,0),IMDIV(COMPLEX(0,2*PI()*O531),COMPLEX(wz_ea,0)))</f>
        <v>1+4661,68107010679i</v>
      </c>
      <c r="BA531">
        <f t="shared" si="462"/>
        <v>4661.68117736423</v>
      </c>
      <c r="BB531">
        <f t="shared" si="463"/>
        <v>1.57058181190861</v>
      </c>
      <c r="BC531" s="30" t="str">
        <f t="shared" si="464"/>
        <v>-0,0000686861464288841+0,00684049991422598i</v>
      </c>
      <c r="BD531" s="32">
        <f t="shared" si="465"/>
        <v>-43.2978053145825</v>
      </c>
      <c r="BE531" s="31">
        <f t="shared" si="466"/>
        <v>90.5752933407395</v>
      </c>
      <c r="BF531" s="30" t="str">
        <f t="shared" si="467"/>
        <v>-0,000485722125882175-0,00444066463969835i</v>
      </c>
      <c r="BG531" s="68">
        <f t="shared" si="468"/>
        <v>-46.9993894385188</v>
      </c>
      <c r="BH531" s="31">
        <f t="shared" si="469"/>
        <v>-96.2422258413153</v>
      </c>
      <c r="BI531" s="30" t="str">
        <f t="shared" si="476"/>
        <v>0,486820957382932+0,0784944342945336i</v>
      </c>
      <c r="BJ531" s="68">
        <f t="shared" si="470"/>
        <v>-6.14114972439469</v>
      </c>
      <c r="BK531" s="31">
        <f t="shared" si="477"/>
        <v>9.1594706832253</v>
      </c>
      <c r="BL531" s="32">
        <f t="shared" si="471"/>
        <v>-46.9993894385188</v>
      </c>
      <c r="BM531" s="31">
        <f t="shared" si="472"/>
        <v>-96.2422258413153</v>
      </c>
      <c r="BO531">
        <f t="shared" si="473"/>
        <v>0</v>
      </c>
      <c r="BP531">
        <f t="shared" si="474"/>
        <v>0</v>
      </c>
    </row>
    <row r="532" spans="14:68">
      <c r="N532" s="7">
        <v>14</v>
      </c>
      <c r="O532" s="18">
        <f t="shared" si="478"/>
        <v>1380384.26460288</v>
      </c>
      <c r="P532" s="86" t="str">
        <f t="shared" si="479"/>
        <v>96,0576923076923</v>
      </c>
      <c r="Q532" s="4" t="str">
        <f t="shared" si="480"/>
        <v>1+11577,4011830157i</v>
      </c>
      <c r="R532" s="4">
        <f t="shared" ref="R532:R560" si="491">IMABS(Q532)</f>
        <v>11577.4012262033</v>
      </c>
      <c r="S532" s="4">
        <f t="shared" ref="S532:S560" si="492">IMARGUMENT(Q532)</f>
        <v>1.57070995162471</v>
      </c>
      <c r="T532" s="4" t="str">
        <f t="shared" si="481"/>
        <v>1+135,995934832359i</v>
      </c>
      <c r="U532" s="4">
        <f t="shared" ref="U532:U560" si="493">IMABS(T532)</f>
        <v>135.999611363148</v>
      </c>
      <c r="V532" s="4">
        <f t="shared" ref="V532:V560" si="494">IMARGUMENT(T532)</f>
        <v>1.56344329834721</v>
      </c>
      <c r="W532" t="str">
        <f t="shared" si="482"/>
        <v>1-64,5672309649096i</v>
      </c>
      <c r="X532" s="4">
        <f t="shared" ref="X532:X560" si="495">IMABS(W532)</f>
        <v>64.574974366824</v>
      </c>
      <c r="Y532" s="4">
        <f t="shared" ref="Y532:Y560" si="496">IMARGUMENT(W532)</f>
        <v>-1.55530983248589</v>
      </c>
      <c r="Z532" t="str">
        <f t="shared" si="483"/>
        <v>-14,5547813711285+110,68051732568i</v>
      </c>
      <c r="AA532" s="4">
        <f t="shared" ref="AA532:AA560" si="497">IMABS(Z532)</f>
        <v>111.633411558733</v>
      </c>
      <c r="AB532" s="4">
        <f t="shared" ref="AB532:AB560" si="498">IMARGUMENT(Z532)</f>
        <v>1.70154872356835</v>
      </c>
      <c r="AC532" s="67" t="str">
        <f t="shared" ref="AC532:AC560" si="499">(IMDIV(IMPRODUCT(P532,T532,W532),IMPRODUCT(Q532,Z532)))</f>
        <v>-0,647828854611998+0,0797798028297256i</v>
      </c>
      <c r="AD532" s="68">
        <f t="shared" ref="AD532:AD560" si="500">20*LOG(IMABS(AC532))</f>
        <v>-3.7054244580464</v>
      </c>
      <c r="AE532" s="31">
        <f t="shared" ref="AE532:AE560" si="501">(180/PI())*IMARGUMENT(AC532)</f>
        <v>172.979401703035</v>
      </c>
      <c r="AF532" s="32" t="str">
        <f t="shared" ref="AF532:AF560" si="502">COMPLEX($B$68,0)</f>
        <v>236,914774604583</v>
      </c>
      <c r="AG532" s="32" t="str">
        <f t="shared" si="484"/>
        <v>1+2859,00544818027i</v>
      </c>
      <c r="AH532" s="32">
        <f t="shared" ref="AH532:AH560" si="503">IMABS(AG532)</f>
        <v>2859.00562306626</v>
      </c>
      <c r="AI532" s="32">
        <f t="shared" ref="AI532:AI560" si="504">IMARGUMENT(AG532)</f>
        <v>1.57044655482792</v>
      </c>
      <c r="AJ532" s="32" t="str">
        <f t="shared" si="485"/>
        <v>1+135,995934832359i</v>
      </c>
      <c r="AK532" s="32">
        <f t="shared" ref="AK532:AK560" si="505">IMABS(AJ532)</f>
        <v>135.999611363148</v>
      </c>
      <c r="AL532" s="32">
        <f t="shared" ref="AL532:AL560" si="506">IMARGUMENT(AJ532)</f>
        <v>1.56344329834721</v>
      </c>
      <c r="AM532" s="32" t="str">
        <f t="shared" si="486"/>
        <v>1-6,46462914431944i</v>
      </c>
      <c r="AN532" s="32">
        <f t="shared" ref="AN532:AN560" si="507">IMABS(AM532)</f>
        <v>6.54151587734711</v>
      </c>
      <c r="AO532" s="32">
        <f t="shared" ref="AO532:AO560" si="508">IMARGUMENT(AM532)</f>
        <v>-1.41732480467172</v>
      </c>
      <c r="AP532" s="30" t="str">
        <f t="shared" ref="AP532:AP560" si="509">(IMDIV(IMPRODUCT(AF532,AJ532,AM532),IMPRODUCT(AG532)))</f>
        <v>10,7592701827122-72,9319794984846i</v>
      </c>
      <c r="AQ532" s="32">
        <f t="shared" ref="AQ532:AQ560" si="510">20*LOG(IMABS(AP532))</f>
        <v>37.3518640579578</v>
      </c>
      <c r="AR532" s="31">
        <f t="shared" ref="AR532:AR560" si="511">(180/PI())*IMARGUMENT(AP532)</f>
        <v>-81.6079865460855</v>
      </c>
      <c r="AS532" t="str">
        <f t="shared" si="487"/>
        <v>-0,000272527472527473</v>
      </c>
      <c r="AT532" t="str">
        <f t="shared" si="488"/>
        <v>1,94887031612443i</v>
      </c>
      <c r="AU532">
        <f t="shared" ref="AU532:AU560" si="512">IMABS(AT532)</f>
        <v>1.94887031612443</v>
      </c>
      <c r="AV532">
        <f t="shared" ref="AV532:AV560" si="513">IMARGUMENT(AT532)</f>
        <v>1.5707963267949</v>
      </c>
      <c r="AW532" t="str">
        <f t="shared" si="489"/>
        <v>1+99,7785856032667i</v>
      </c>
      <c r="AX532">
        <f t="shared" ref="AX532:AX560" si="514">IMABS(AW532)</f>
        <v>99.7835965727254</v>
      </c>
      <c r="AY532">
        <f t="shared" ref="AY532:AY560" si="515">IMARGUMENT(AW532)</f>
        <v>1.5607744717592</v>
      </c>
      <c r="AZ532" t="str">
        <f t="shared" si="490"/>
        <v>1+4770,26557128809i</v>
      </c>
      <c r="BA532">
        <f t="shared" ref="BA532:BA560" si="516">IMABS(AZ532)</f>
        <v>4770.26567610406</v>
      </c>
      <c r="BB532">
        <f t="shared" ref="BB532:BB560" si="517">IMARGUMENT(AZ532)</f>
        <v>1.57058669486342</v>
      </c>
      <c r="BC532" s="30" t="str">
        <f t="shared" ref="BC532:BC560" si="518">IMPRODUCT(AS532,IMDIV(AZ532,IMPRODUCT(AT532,AW532)))</f>
        <v>-0,000065595071082879+0,00668482210547288i</v>
      </c>
      <c r="BD532" s="32">
        <f t="shared" ref="BD532:BD560" si="519">20*LOG(IMABS(BC532))</f>
        <v>-43.4977847670836</v>
      </c>
      <c r="BE532" s="31">
        <f t="shared" ref="BE532:BE560" si="520">(180/PI())*IMARGUMENT(BC532)</f>
        <v>90.5621989715129</v>
      </c>
      <c r="BF532" s="30" t="str">
        <f t="shared" ref="BF532:BF560" si="521">IMPRODUCT(AC532,BC532)</f>
        <v>-0,000490819409758603-0,00433585380971105i</v>
      </c>
      <c r="BG532" s="68">
        <f t="shared" ref="BG532:BG560" si="522">20*LOG(IMABS(BF532))</f>
        <v>-47.20320922513</v>
      </c>
      <c r="BH532" s="31">
        <f t="shared" ref="BH532:BH560" si="523">(180/PI())*IMARGUMENT(BF532)</f>
        <v>-96.4583993254525</v>
      </c>
      <c r="BI532" s="30" t="str">
        <f t="shared" si="476"/>
        <v>0,48683155365493+0,0767077855355679i</v>
      </c>
      <c r="BJ532" s="68">
        <f t="shared" ref="BJ532:BJ560" si="524">20*LOG(IMABS(BI532))</f>
        <v>-6.14592070912579</v>
      </c>
      <c r="BK532" s="31">
        <f t="shared" si="477"/>
        <v>8.95421242542742</v>
      </c>
      <c r="BL532" s="32">
        <f t="shared" ref="BL532:BL560" si="525">IF($B$31=0,BJ532,BG532)</f>
        <v>-47.20320922513</v>
      </c>
      <c r="BM532" s="31">
        <f t="shared" ref="BM532:BM560" si="526">IF($B$31=0,BK532,BH532)</f>
        <v>-96.4583993254525</v>
      </c>
      <c r="BO532">
        <f t="shared" ref="BO532:BO559" si="527">SUM((BL533&lt;0)*(BL532&gt;0))*O532</f>
        <v>0</v>
      </c>
      <c r="BP532">
        <f t="shared" ref="BP532:BP559" si="528">IF(BO532&gt;0,BM532,0)</f>
        <v>0</v>
      </c>
    </row>
    <row r="533" spans="14:68">
      <c r="N533" s="7">
        <v>15</v>
      </c>
      <c r="O533" s="18">
        <f t="shared" si="478"/>
        <v>1412537.54462276</v>
      </c>
      <c r="P533" s="86" t="str">
        <f t="shared" si="479"/>
        <v>96,0576923076923</v>
      </c>
      <c r="Q533" s="4" t="str">
        <f t="shared" si="480"/>
        <v>1+11847,073499403i</v>
      </c>
      <c r="R533" s="4">
        <f t="shared" si="491"/>
        <v>11847.0735416075</v>
      </c>
      <c r="S533" s="4">
        <f t="shared" si="492"/>
        <v>1.57071191776361</v>
      </c>
      <c r="T533" s="4" t="str">
        <f t="shared" si="481"/>
        <v>1+139,163687092624i</v>
      </c>
      <c r="U533" s="4">
        <f t="shared" si="493"/>
        <v>139.167279937541</v>
      </c>
      <c r="V533" s="4">
        <f t="shared" si="494"/>
        <v>1.56361066788056</v>
      </c>
      <c r="W533" t="str">
        <f t="shared" si="482"/>
        <v>1-66,0711949773655i</v>
      </c>
      <c r="X533" s="4">
        <f t="shared" si="495"/>
        <v>66.0787621383531</v>
      </c>
      <c r="Y533" s="4">
        <f t="shared" si="496"/>
        <v>-1.55566229368323</v>
      </c>
      <c r="Z533" t="str">
        <f t="shared" si="483"/>
        <v>-15,2878556323992+113,258597761378i</v>
      </c>
      <c r="AA533" s="4">
        <f t="shared" si="497"/>
        <v>114.285731815965</v>
      </c>
      <c r="AB533" s="4">
        <f t="shared" si="498"/>
        <v>1.704967234581</v>
      </c>
      <c r="AC533" s="67" t="str">
        <f t="shared" si="499"/>
        <v>-0,647237833456358+0,0820771339046178i</v>
      </c>
      <c r="AD533" s="68">
        <f t="shared" si="500"/>
        <v>-3.70943822867858</v>
      </c>
      <c r="AE533" s="31">
        <f t="shared" si="501"/>
        <v>172.77281782716</v>
      </c>
      <c r="AF533" s="32" t="str">
        <f t="shared" si="502"/>
        <v>236,914774604583</v>
      </c>
      <c r="AG533" s="32" t="str">
        <f t="shared" si="484"/>
        <v>1+2925,60024001539i</v>
      </c>
      <c r="AH533" s="32">
        <f t="shared" si="503"/>
        <v>2925.60041092048</v>
      </c>
      <c r="AI533" s="32">
        <f t="shared" si="504"/>
        <v>1.57045451660929</v>
      </c>
      <c r="AJ533" s="32" t="str">
        <f t="shared" si="485"/>
        <v>1+139,163687092624i</v>
      </c>
      <c r="AK533" s="32">
        <f t="shared" si="505"/>
        <v>139.167279937541</v>
      </c>
      <c r="AL533" s="32">
        <f t="shared" si="506"/>
        <v>1.56361066788056</v>
      </c>
      <c r="AM533" s="32" t="str">
        <f t="shared" si="486"/>
        <v>1-6,61520970107606i</v>
      </c>
      <c r="AN533" s="32">
        <f t="shared" si="507"/>
        <v>6.6903661625662</v>
      </c>
      <c r="AO533" s="32">
        <f t="shared" si="508"/>
        <v>-1.42076546237268</v>
      </c>
      <c r="AP533" s="30" t="str">
        <f t="shared" si="509"/>
        <v>10,7592689374488-74,6271403912108i</v>
      </c>
      <c r="AQ533" s="32">
        <f t="shared" si="510"/>
        <v>37.5472832627273</v>
      </c>
      <c r="AR533" s="31">
        <f t="shared" si="511"/>
        <v>-81.7959883196898</v>
      </c>
      <c r="AS533" t="str">
        <f t="shared" si="487"/>
        <v>-0,000272527472527473</v>
      </c>
      <c r="AT533" t="str">
        <f t="shared" si="488"/>
        <v>1,99426533735412i</v>
      </c>
      <c r="AU533">
        <f t="shared" si="512"/>
        <v>1.99426533735412</v>
      </c>
      <c r="AV533">
        <f t="shared" si="513"/>
        <v>1.5707963267949</v>
      </c>
      <c r="AW533" t="str">
        <f t="shared" si="489"/>
        <v>1+102,102727427509i</v>
      </c>
      <c r="AX533">
        <f t="shared" si="514"/>
        <v>102.107624338911</v>
      </c>
      <c r="AY533">
        <f t="shared" si="515"/>
        <v>1.56100258227394</v>
      </c>
      <c r="AZ533" t="str">
        <f t="shared" si="490"/>
        <v>1+4881,37933041729i</v>
      </c>
      <c r="BA533">
        <f t="shared" si="516"/>
        <v>4881.37943284735</v>
      </c>
      <c r="BB533">
        <f t="shared" si="517"/>
        <v>1.57059146666862</v>
      </c>
      <c r="BC533" s="30" t="str">
        <f t="shared" si="518"/>
        <v>-0,0000626430897282745+0,00653268588881186i</v>
      </c>
      <c r="BD533" s="32">
        <f t="shared" si="519"/>
        <v>-43.6977651442836</v>
      </c>
      <c r="BE533" s="31">
        <f t="shared" si="520"/>
        <v>90.5494026060545</v>
      </c>
      <c r="BF533" s="30" t="str">
        <f t="shared" si="521"/>
        <v>-0,000495639156776077-0,00423334302658934i</v>
      </c>
      <c r="BG533" s="68">
        <f t="shared" si="522"/>
        <v>-47.4072033729622</v>
      </c>
      <c r="BH533" s="31">
        <f t="shared" si="523"/>
        <v>-96.6777795667852</v>
      </c>
      <c r="BI533" s="30" t="str">
        <f t="shared" si="476"/>
        <v>0,486841673106585+0,0749617990132947i</v>
      </c>
      <c r="BJ533" s="68">
        <f t="shared" si="524"/>
        <v>-6.1504818815563</v>
      </c>
      <c r="BK533" s="31">
        <f t="shared" si="477"/>
        <v>8.75341428636476</v>
      </c>
      <c r="BL533" s="32">
        <f t="shared" si="525"/>
        <v>-47.4072033729622</v>
      </c>
      <c r="BM533" s="31">
        <f t="shared" si="526"/>
        <v>-96.6777795667852</v>
      </c>
      <c r="BO533">
        <f t="shared" si="527"/>
        <v>0</v>
      </c>
      <c r="BP533">
        <f t="shared" si="528"/>
        <v>0</v>
      </c>
    </row>
    <row r="534" spans="14:68">
      <c r="N534" s="7">
        <v>16</v>
      </c>
      <c r="O534" s="18">
        <f t="shared" si="478"/>
        <v>1445439.77074593</v>
      </c>
      <c r="P534" s="86" t="str">
        <f t="shared" si="479"/>
        <v>96,0576923076923</v>
      </c>
      <c r="Q534" s="4" t="str">
        <f t="shared" si="480"/>
        <v>1+12123,0272909741i</v>
      </c>
      <c r="R534" s="4">
        <f t="shared" si="491"/>
        <v>12123.0273322179</v>
      </c>
      <c r="S534" s="4">
        <f t="shared" si="492"/>
        <v>1.57071383914773</v>
      </c>
      <c r="T534" s="4" t="str">
        <f t="shared" si="481"/>
        <v>1+142,405225781833i</v>
      </c>
      <c r="U534" s="4">
        <f t="shared" si="493"/>
        <v>142.408736845654</v>
      </c>
      <c r="V534" s="4">
        <f t="shared" si="494"/>
        <v>1.56377422800721</v>
      </c>
      <c r="W534" t="str">
        <f t="shared" si="482"/>
        <v>1-67,6101908119533i</v>
      </c>
      <c r="X534" s="4">
        <f t="shared" si="495"/>
        <v>67.6175857423846</v>
      </c>
      <c r="Y534" s="4">
        <f t="shared" si="496"/>
        <v>-1.55600673551793</v>
      </c>
      <c r="Z534" t="str">
        <f t="shared" si="483"/>
        <v>-16,0554786192168+115,896729404763i</v>
      </c>
      <c r="AA534" s="4">
        <f t="shared" si="497"/>
        <v>117.003548153092</v>
      </c>
      <c r="AB534" s="4">
        <f t="shared" si="498"/>
        <v>1.70845281586778</v>
      </c>
      <c r="AC534" s="67" t="str">
        <f t="shared" si="499"/>
        <v>-0,646620000254347+0,084410114127456i</v>
      </c>
      <c r="AD534" s="68">
        <f t="shared" si="500"/>
        <v>-3.71363345369919</v>
      </c>
      <c r="AE534" s="31">
        <f t="shared" si="501"/>
        <v>172.562634884615</v>
      </c>
      <c r="AF534" s="32" t="str">
        <f t="shared" si="502"/>
        <v>236,914774604583</v>
      </c>
      <c r="AG534" s="32" t="str">
        <f t="shared" si="484"/>
        <v>1+2993,74622382263i</v>
      </c>
      <c r="AH534" s="32">
        <f t="shared" si="503"/>
        <v>2993.74639083745</v>
      </c>
      <c r="AI534" s="32">
        <f t="shared" si="504"/>
        <v>1.57046229715843</v>
      </c>
      <c r="AJ534" s="32" t="str">
        <f t="shared" si="485"/>
        <v>1+142,405225781833i</v>
      </c>
      <c r="AK534" s="32">
        <f t="shared" si="505"/>
        <v>142.408736845654</v>
      </c>
      <c r="AL534" s="32">
        <f t="shared" si="506"/>
        <v>1.56377422800721</v>
      </c>
      <c r="AM534" s="32" t="str">
        <f t="shared" si="486"/>
        <v>1-6,76929772957878i</v>
      </c>
      <c r="AN534" s="32">
        <f t="shared" si="507"/>
        <v>6.84276199729908</v>
      </c>
      <c r="AO534" s="32">
        <f t="shared" si="508"/>
        <v>-1.42413126307344</v>
      </c>
      <c r="AP534" s="30" t="str">
        <f t="shared" si="509"/>
        <v>10,7592677482315-76,3618695815401i</v>
      </c>
      <c r="AQ534" s="32">
        <f t="shared" si="510"/>
        <v>37.7429041429982</v>
      </c>
      <c r="AR534" s="31">
        <f t="shared" si="511"/>
        <v>-81.9799089821995</v>
      </c>
      <c r="AS534" t="str">
        <f t="shared" si="487"/>
        <v>-0,000272527472527473</v>
      </c>
      <c r="AT534" t="str">
        <f t="shared" si="488"/>
        <v>2,04071774446288i</v>
      </c>
      <c r="AU534">
        <f t="shared" si="512"/>
        <v>2.04071774446288</v>
      </c>
      <c r="AV534">
        <f t="shared" si="513"/>
        <v>1.5707963267949</v>
      </c>
      <c r="AW534" t="str">
        <f t="shared" si="489"/>
        <v>1+104,481005469322i</v>
      </c>
      <c r="AX534">
        <f t="shared" si="514"/>
        <v>104.485790918577</v>
      </c>
      <c r="AY534">
        <f t="shared" si="515"/>
        <v>1.56122550134433</v>
      </c>
      <c r="AZ534" t="str">
        <f t="shared" si="490"/>
        <v>1+4995,08126148012i</v>
      </c>
      <c r="BA534">
        <f t="shared" si="516"/>
        <v>4995.08136157859</v>
      </c>
      <c r="BB534">
        <f t="shared" si="517"/>
        <v>1.57059612985429</v>
      </c>
      <c r="BC534" s="30" t="str">
        <f t="shared" si="518"/>
        <v>-0,0000598239445074232+0,00638401078573043i</v>
      </c>
      <c r="BD534" s="32">
        <f t="shared" si="519"/>
        <v>-43.8977464045723</v>
      </c>
      <c r="BE534" s="31">
        <f t="shared" si="520"/>
        <v>90.5368974650058</v>
      </c>
      <c r="BF534" s="30" t="str">
        <f t="shared" si="521"/>
        <v>-0,00050019172000181-0,00413307880187619i</v>
      </c>
      <c r="BG534" s="68">
        <f t="shared" si="522"/>
        <v>-47.6113798582715</v>
      </c>
      <c r="BH534" s="31">
        <f t="shared" si="523"/>
        <v>-96.9004676503792</v>
      </c>
      <c r="BI534" s="30" t="str">
        <f t="shared" si="476"/>
        <v>0,486851337190382+0,0732555495996006i</v>
      </c>
      <c r="BJ534" s="68">
        <f t="shared" si="524"/>
        <v>-6.15484226157413</v>
      </c>
      <c r="BK534" s="31">
        <f t="shared" si="477"/>
        <v>8.55698848280627</v>
      </c>
      <c r="BL534" s="32">
        <f t="shared" si="525"/>
        <v>-47.6113798582715</v>
      </c>
      <c r="BM534" s="31">
        <f t="shared" si="526"/>
        <v>-96.9004676503792</v>
      </c>
      <c r="BO534">
        <f t="shared" si="527"/>
        <v>0</v>
      </c>
      <c r="BP534">
        <f t="shared" si="528"/>
        <v>0</v>
      </c>
    </row>
    <row r="535" spans="14:68">
      <c r="N535" s="7">
        <v>17</v>
      </c>
      <c r="O535" s="18">
        <f t="shared" si="478"/>
        <v>1479108.38816821</v>
      </c>
      <c r="P535" s="86" t="str">
        <f t="shared" si="479"/>
        <v>96,0576923076923</v>
      </c>
      <c r="Q535" s="4" t="str">
        <f t="shared" si="480"/>
        <v>1+12405,4088720821i</v>
      </c>
      <c r="R535" s="4">
        <f t="shared" si="491"/>
        <v>12405.4089123871</v>
      </c>
      <c r="S535" s="4">
        <f t="shared" si="492"/>
        <v>1.57071571679581</v>
      </c>
      <c r="T535" s="4" t="str">
        <f t="shared" si="481"/>
        <v>1+145,722269606709i</v>
      </c>
      <c r="U535" s="4">
        <f t="shared" si="493"/>
        <v>145.725700750864</v>
      </c>
      <c r="V535" s="4">
        <f t="shared" si="494"/>
        <v>1.5639340654139</v>
      </c>
      <c r="W535" t="str">
        <f t="shared" si="482"/>
        <v>1-69,1850344646364i</v>
      </c>
      <c r="X535" s="4">
        <f t="shared" si="495"/>
        <v>69.1922610836857</v>
      </c>
      <c r="Y535" s="4">
        <f t="shared" si="496"/>
        <v>-1.55634334029049</v>
      </c>
      <c r="Z535" t="str">
        <f t="shared" si="483"/>
        <v>-16,8592785628537+118,596311028152i</v>
      </c>
      <c r="AA535" s="4">
        <f t="shared" si="497"/>
        <v>119.788648306699</v>
      </c>
      <c r="AB535" s="4">
        <f t="shared" si="498"/>
        <v>1.71200703188956</v>
      </c>
      <c r="AC535" s="67" t="str">
        <f t="shared" si="499"/>
        <v>-0,645974204926337+0,0867794417254224i</v>
      </c>
      <c r="AD535" s="68">
        <f t="shared" si="500"/>
        <v>-3.71801848938821</v>
      </c>
      <c r="AE535" s="31">
        <f t="shared" si="501"/>
        <v>172.348757701758</v>
      </c>
      <c r="AF535" s="32" t="str">
        <f t="shared" si="502"/>
        <v>236,914774604583</v>
      </c>
      <c r="AG535" s="32" t="str">
        <f t="shared" si="484"/>
        <v>1+3063,47953150467i</v>
      </c>
      <c r="AH535" s="32">
        <f t="shared" si="503"/>
        <v>3063.47969471777</v>
      </c>
      <c r="AI535" s="32">
        <f t="shared" si="504"/>
        <v>1.5704699006007</v>
      </c>
      <c r="AJ535" s="32" t="str">
        <f t="shared" si="485"/>
        <v>1+145,722269606709i</v>
      </c>
      <c r="AK535" s="32">
        <f t="shared" si="505"/>
        <v>145.725700750864</v>
      </c>
      <c r="AL535" s="32">
        <f t="shared" si="506"/>
        <v>1.5639340654139</v>
      </c>
      <c r="AM535" s="32" t="str">
        <f t="shared" si="486"/>
        <v>1-6,92697492933998i</v>
      </c>
      <c r="AN535" s="32">
        <f t="shared" si="507"/>
        <v>6.9987842995555</v>
      </c>
      <c r="AO535" s="32">
        <f t="shared" si="508"/>
        <v>-1.42742368616925</v>
      </c>
      <c r="AP535" s="30" t="str">
        <f t="shared" si="509"/>
        <v>10,7592666125379-78,1370868458553i</v>
      </c>
      <c r="AQ535" s="32">
        <f t="shared" si="510"/>
        <v>37.938718009062</v>
      </c>
      <c r="AR535" s="31">
        <f t="shared" si="511"/>
        <v>-82.1598285663014</v>
      </c>
      <c r="AS535" t="str">
        <f t="shared" si="487"/>
        <v>-0,000272527472527473</v>
      </c>
      <c r="AT535" t="str">
        <f t="shared" si="488"/>
        <v>2,08825216713185i</v>
      </c>
      <c r="AU535">
        <f t="shared" si="512"/>
        <v>2.08825216713185</v>
      </c>
      <c r="AV535">
        <f t="shared" si="513"/>
        <v>1.5707963267949</v>
      </c>
      <c r="AW535" t="str">
        <f t="shared" si="489"/>
        <v>1+106,914680723204i</v>
      </c>
      <c r="AX535">
        <f t="shared" si="514"/>
        <v>106.919357247154</v>
      </c>
      <c r="AY535">
        <f t="shared" si="515"/>
        <v>1.56144334707634</v>
      </c>
      <c r="AZ535" t="str">
        <f t="shared" si="490"/>
        <v>1+5111,43165074551i</v>
      </c>
      <c r="BA535">
        <f t="shared" si="516"/>
        <v>5111.43174856546</v>
      </c>
      <c r="BB535">
        <f t="shared" si="517"/>
        <v>1.57060068689289</v>
      </c>
      <c r="BC535" s="30" t="str">
        <f t="shared" si="518"/>
        <v>-0,0000571316590012526+0,00623871814042517i</v>
      </c>
      <c r="BD535" s="32">
        <f t="shared" si="519"/>
        <v>-44.0977285082114</v>
      </c>
      <c r="BE535" s="31">
        <f t="shared" si="520"/>
        <v>90.5246769230557</v>
      </c>
      <c r="BF535" s="30" t="str">
        <f t="shared" si="521"/>
        <v>-0,000504486899308905-0,00403500884399364i</v>
      </c>
      <c r="BG535" s="68">
        <f t="shared" si="522"/>
        <v>-47.8157469975996</v>
      </c>
      <c r="BH535" s="31">
        <f t="shared" si="523"/>
        <v>-97.1265653751862</v>
      </c>
      <c r="BI535" s="30" t="str">
        <f t="shared" si="476"/>
        <v>0,486860566394003+0,0715881331943397i</v>
      </c>
      <c r="BJ535" s="68">
        <f t="shared" si="524"/>
        <v>-6.15901049914937</v>
      </c>
      <c r="BK535" s="31">
        <f t="shared" si="477"/>
        <v>8.36484835675425</v>
      </c>
      <c r="BL535" s="32">
        <f t="shared" si="525"/>
        <v>-47.8157469975996</v>
      </c>
      <c r="BM535" s="31">
        <f t="shared" si="526"/>
        <v>-97.1265653751862</v>
      </c>
      <c r="BO535">
        <f t="shared" si="527"/>
        <v>0</v>
      </c>
      <c r="BP535">
        <f t="shared" si="528"/>
        <v>0</v>
      </c>
    </row>
    <row r="536" spans="14:68">
      <c r="N536" s="7">
        <v>18</v>
      </c>
      <c r="O536" s="18">
        <f t="shared" si="478"/>
        <v>1513561.24843621</v>
      </c>
      <c r="P536" s="86" t="str">
        <f t="shared" si="479"/>
        <v>96,0576923076923</v>
      </c>
      <c r="Q536" s="4" t="str">
        <f t="shared" si="480"/>
        <v>1+12694,3679651791i</v>
      </c>
      <c r="R536" s="4">
        <f t="shared" si="491"/>
        <v>12694.3680045666</v>
      </c>
      <c r="S536" s="4">
        <f t="shared" si="492"/>
        <v>1.5707175517034</v>
      </c>
      <c r="T536" s="4" t="str">
        <f t="shared" si="481"/>
        <v>1+149,116577307792i</v>
      </c>
      <c r="U536" s="4">
        <f t="shared" si="493"/>
        <v>149.119930351347</v>
      </c>
      <c r="V536" s="4">
        <f t="shared" si="494"/>
        <v>1.56409026481583</v>
      </c>
      <c r="W536" t="str">
        <f t="shared" si="482"/>
        <v>1-70,7965609383649i</v>
      </c>
      <c r="X536" s="4">
        <f t="shared" si="495"/>
        <v>70.80362307608</v>
      </c>
      <c r="Y536" s="4">
        <f t="shared" si="496"/>
        <v>-1.55667228616796</v>
      </c>
      <c r="Z536" t="str">
        <f t="shared" si="483"/>
        <v>-17,7009604307575+121,358773985457i</v>
      </c>
      <c r="AA536" s="4">
        <f t="shared" si="497"/>
        <v>122.642880035591</v>
      </c>
      <c r="AB536" s="4">
        <f t="shared" si="498"/>
        <v>1.71563146411321</v>
      </c>
      <c r="AC536" s="67" t="str">
        <f t="shared" si="499"/>
        <v>-0,645299252871074+0,0891857985210806i</v>
      </c>
      <c r="AD536" s="68">
        <f t="shared" si="500"/>
        <v>-3.72260204387448</v>
      </c>
      <c r="AE536" s="31">
        <f t="shared" si="501"/>
        <v>172.131090255778</v>
      </c>
      <c r="AF536" s="32" t="str">
        <f t="shared" si="502"/>
        <v>236,914774604583</v>
      </c>
      <c r="AG536" s="32" t="str">
        <f t="shared" si="484"/>
        <v>1+3134,83713658425i</v>
      </c>
      <c r="AH536" s="32">
        <f t="shared" si="503"/>
        <v>3134.83729608216</v>
      </c>
      <c r="AI536" s="32">
        <f t="shared" si="504"/>
        <v>1.57047733096752</v>
      </c>
      <c r="AJ536" s="32" t="str">
        <f t="shared" si="485"/>
        <v>1+149,116577307792i</v>
      </c>
      <c r="AK536" s="32">
        <f t="shared" si="505"/>
        <v>149.119930351347</v>
      </c>
      <c r="AL536" s="32">
        <f t="shared" si="506"/>
        <v>1.56409026481583</v>
      </c>
      <c r="AM536" s="32" t="str">
        <f t="shared" si="486"/>
        <v>1-7,08832490289808i</v>
      </c>
      <c r="AN536" s="32">
        <f t="shared" si="507"/>
        <v>7.15851590268856</v>
      </c>
      <c r="AO536" s="32">
        <f t="shared" si="508"/>
        <v>-1.43064419167765</v>
      </c>
      <c r="AP536" s="30" t="str">
        <f t="shared" si="509"/>
        <v>10,7592655279589-79,9537334278491i</v>
      </c>
      <c r="AQ536" s="32">
        <f t="shared" si="510"/>
        <v>38.134716529288</v>
      </c>
      <c r="AR536" s="31">
        <f t="shared" si="511"/>
        <v>-82.3358261019975</v>
      </c>
      <c r="AS536" t="str">
        <f t="shared" si="487"/>
        <v>-0,000272527472527473</v>
      </c>
      <c r="AT536" t="str">
        <f t="shared" si="488"/>
        <v>2,13689380874112i</v>
      </c>
      <c r="AU536">
        <f t="shared" si="512"/>
        <v>2.13689380874112</v>
      </c>
      <c r="AV536">
        <f t="shared" si="513"/>
        <v>1.5707963267949</v>
      </c>
      <c r="AW536" t="str">
        <f t="shared" si="489"/>
        <v>1+109,405043555989i</v>
      </c>
      <c r="AX536">
        <f t="shared" si="514"/>
        <v>109.409613633756</v>
      </c>
      <c r="AY536">
        <f t="shared" si="515"/>
        <v>1.56165623489191</v>
      </c>
      <c r="AZ536" t="str">
        <f t="shared" si="490"/>
        <v>1+5230,49218872993i</v>
      </c>
      <c r="BA536">
        <f t="shared" si="516"/>
        <v>5230.49228432323</v>
      </c>
      <c r="BB536">
        <f t="shared" si="517"/>
        <v>1.57060514020065</v>
      </c>
      <c r="BC536" s="30" t="str">
        <f t="shared" si="518"/>
        <v>-0,0000545605255810417+0,0060967310789259i</v>
      </c>
      <c r="BD536" s="32">
        <f t="shared" si="519"/>
        <v>-44.2977114172504</v>
      </c>
      <c r="BE536" s="31">
        <f t="shared" si="520"/>
        <v>90.5127345054526</v>
      </c>
      <c r="BF536" s="30" t="str">
        <f t="shared" si="521"/>
        <v>-0,000508533963248596-0,00393908203422842i</v>
      </c>
      <c r="BG536" s="68">
        <f t="shared" si="522"/>
        <v>-48.0203134611249</v>
      </c>
      <c r="BH536" s="31">
        <f t="shared" si="523"/>
        <v>-97.3561752387697</v>
      </c>
      <c r="BI536" s="30" t="str">
        <f t="shared" si="476"/>
        <v>0,486869380283653+0,0699586662487131i</v>
      </c>
      <c r="BJ536" s="68">
        <f t="shared" si="524"/>
        <v>-6.1629948879624</v>
      </c>
      <c r="BK536" s="31">
        <f t="shared" si="477"/>
        <v>8.17690840345514</v>
      </c>
      <c r="BL536" s="32">
        <f t="shared" si="525"/>
        <v>-48.0203134611249</v>
      </c>
      <c r="BM536" s="31">
        <f t="shared" si="526"/>
        <v>-97.3561752387697</v>
      </c>
      <c r="BO536">
        <f t="shared" si="527"/>
        <v>0</v>
      </c>
      <c r="BP536">
        <f t="shared" si="528"/>
        <v>0</v>
      </c>
    </row>
    <row r="537" spans="14:68">
      <c r="N537" s="7">
        <v>19</v>
      </c>
      <c r="O537" s="18">
        <f t="shared" si="478"/>
        <v>1548816.61891249</v>
      </c>
      <c r="P537" s="86" t="str">
        <f t="shared" si="479"/>
        <v>96,0576923076923</v>
      </c>
      <c r="Q537" s="4" t="str">
        <f t="shared" si="480"/>
        <v>1+12990,0577802011i</v>
      </c>
      <c r="R537" s="4">
        <f t="shared" si="491"/>
        <v>12990.0578186921</v>
      </c>
      <c r="S537" s="4">
        <f t="shared" si="492"/>
        <v>1.5707193448434</v>
      </c>
      <c r="T537" s="4" t="str">
        <f t="shared" si="481"/>
        <v>1+152,589948591955i</v>
      </c>
      <c r="U537" s="4">
        <f t="shared" si="493"/>
        <v>152.593225312579</v>
      </c>
      <c r="V537" s="4">
        <f t="shared" si="494"/>
        <v>1.56424290900149</v>
      </c>
      <c r="W537" t="str">
        <f t="shared" si="482"/>
        <v>1-72,4456246858064i</v>
      </c>
      <c r="X537" s="4">
        <f t="shared" si="495"/>
        <v>72.4525260851319</v>
      </c>
      <c r="Y537" s="4">
        <f t="shared" si="496"/>
        <v>-1.55699374727686</v>
      </c>
      <c r="Z537" t="str">
        <f t="shared" si="483"/>
        <v>-18,5823095430166+124,185582971103i</v>
      </c>
      <c r="AA537" s="4">
        <f t="shared" si="497"/>
        <v>125.568153788392</v>
      </c>
      <c r="AB537" s="4">
        <f t="shared" si="498"/>
        <v>1.7193277105679</v>
      </c>
      <c r="AC537" s="67" t="str">
        <f t="shared" si="499"/>
        <v>-0,644593903760712+0,0916298480709795i</v>
      </c>
      <c r="AD537" s="68">
        <f t="shared" si="500"/>
        <v>-3.7273931909301</v>
      </c>
      <c r="AE537" s="31">
        <f t="shared" si="501"/>
        <v>171.909535697318</v>
      </c>
      <c r="AF537" s="32" t="str">
        <f t="shared" si="502"/>
        <v>236,914774604583</v>
      </c>
      <c r="AG537" s="32" t="str">
        <f t="shared" si="484"/>
        <v>1+3207,85687380814i</v>
      </c>
      <c r="AH537" s="32">
        <f t="shared" si="503"/>
        <v>3207.85702967544</v>
      </c>
      <c r="AI537" s="32">
        <f t="shared" si="504"/>
        <v>1.57048459219858</v>
      </c>
      <c r="AJ537" s="32" t="str">
        <f t="shared" si="485"/>
        <v>1+152,589948591955i</v>
      </c>
      <c r="AK537" s="32">
        <f t="shared" si="505"/>
        <v>152.593225312579</v>
      </c>
      <c r="AL537" s="32">
        <f t="shared" si="506"/>
        <v>1.56424290900149</v>
      </c>
      <c r="AM537" s="32" t="str">
        <f t="shared" si="486"/>
        <v>1-7,25343320014479i</v>
      </c>
      <c r="AN537" s="32">
        <f t="shared" si="507"/>
        <v>7.32204159978367</v>
      </c>
      <c r="AO537" s="32">
        <f t="shared" si="508"/>
        <v>-1.43379421979784</v>
      </c>
      <c r="AP537" s="30" t="str">
        <f t="shared" si="509"/>
        <v>10,7592644921938-81,8127725375881i</v>
      </c>
      <c r="AQ537" s="32">
        <f t="shared" si="510"/>
        <v>38.330891716782</v>
      </c>
      <c r="AR537" s="31">
        <f t="shared" si="511"/>
        <v>-82.5079795889199</v>
      </c>
      <c r="AS537" t="str">
        <f t="shared" si="487"/>
        <v>-0,000272527472527473</v>
      </c>
      <c r="AT537" t="str">
        <f t="shared" si="488"/>
        <v>2,18666845973293i</v>
      </c>
      <c r="AU537">
        <f t="shared" si="512"/>
        <v>2.18666845973293</v>
      </c>
      <c r="AV537">
        <f t="shared" si="513"/>
        <v>1.5707963267949</v>
      </c>
      <c r="AW537" t="str">
        <f t="shared" si="489"/>
        <v>1+111,953414391015i</v>
      </c>
      <c r="AX537">
        <f t="shared" si="514"/>
        <v>111.95788044531</v>
      </c>
      <c r="AY537">
        <f t="shared" si="515"/>
        <v>1.56186427758975</v>
      </c>
      <c r="AZ537" t="str">
        <f t="shared" si="490"/>
        <v>1+5352,32600290658i</v>
      </c>
      <c r="BA537">
        <f t="shared" si="516"/>
        <v>5352.32609632391</v>
      </c>
      <c r="BB537">
        <f t="shared" si="517"/>
        <v>1.57060949213875</v>
      </c>
      <c r="BC537" s="30" t="str">
        <f t="shared" si="518"/>
        <v>-0,0000521050933278224+0,00595797446910938i</v>
      </c>
      <c r="BD537" s="32">
        <f t="shared" si="519"/>
        <v>-44.4976950954467</v>
      </c>
      <c r="BE537" s="31">
        <f t="shared" si="520"/>
        <v>90.5010638845936</v>
      </c>
      <c r="BF537" s="30" t="str">
        <f t="shared" si="521"/>
        <v>-0,00051234166990127-0,00384524840333522i</v>
      </c>
      <c r="BG537" s="68">
        <f t="shared" si="522"/>
        <v>-48.2250882863768</v>
      </c>
      <c r="BH537" s="31">
        <f t="shared" si="523"/>
        <v>-97.5894004180886</v>
      </c>
      <c r="BI537" s="30" t="str">
        <f t="shared" si="476"/>
        <v>0,486877797545498+0,0683662852993647i</v>
      </c>
      <c r="BJ537" s="68">
        <f t="shared" si="524"/>
        <v>-6.16680337866478</v>
      </c>
      <c r="BK537" s="31">
        <f t="shared" si="477"/>
        <v>7.99308429567366</v>
      </c>
      <c r="BL537" s="32">
        <f t="shared" si="525"/>
        <v>-48.2250882863768</v>
      </c>
      <c r="BM537" s="31">
        <f t="shared" si="526"/>
        <v>-97.5894004180886</v>
      </c>
      <c r="BO537">
        <f t="shared" si="527"/>
        <v>0</v>
      </c>
      <c r="BP537">
        <f t="shared" si="528"/>
        <v>0</v>
      </c>
    </row>
    <row r="538" spans="14:68">
      <c r="N538" s="7">
        <v>20</v>
      </c>
      <c r="O538" s="18">
        <f t="shared" si="478"/>
        <v>1584893.19246112</v>
      </c>
      <c r="P538" s="86" t="str">
        <f t="shared" si="479"/>
        <v>96,0576923076923</v>
      </c>
      <c r="Q538" s="4" t="str">
        <f t="shared" si="480"/>
        <v>1+13292,6350958019i</v>
      </c>
      <c r="R538" s="4">
        <f t="shared" si="491"/>
        <v>13292.6351334167</v>
      </c>
      <c r="S538" s="4">
        <f t="shared" si="492"/>
        <v>1.57072109716654</v>
      </c>
      <c r="T538" s="4" t="str">
        <f t="shared" si="481"/>
        <v>1+156,144225086628i</v>
      </c>
      <c r="U538" s="4">
        <f t="shared" si="493"/>
        <v>156.147427221532</v>
      </c>
      <c r="V538" s="4">
        <f t="shared" si="494"/>
        <v>1.56439207887638</v>
      </c>
      <c r="W538" t="str">
        <f t="shared" si="482"/>
        <v>1-74,1331000623872i</v>
      </c>
      <c r="X538" s="4">
        <f t="shared" si="495"/>
        <v>74.1398443811417</v>
      </c>
      <c r="Y538" s="4">
        <f t="shared" si="496"/>
        <v>-1.55730789379424</v>
      </c>
      <c r="Z538" t="str">
        <f t="shared" si="483"/>
        <v>-19,5051953592622+127,078236796629i</v>
      </c>
      <c r="AA538" s="4">
        <f t="shared" si="497"/>
        <v>128.566445518818</v>
      </c>
      <c r="AB538" s="4">
        <f t="shared" si="498"/>
        <v>1.72309738533068</v>
      </c>
      <c r="AC538" s="67" t="str">
        <f t="shared" si="499"/>
        <v>-0,643856870353229+0,09411223367278i</v>
      </c>
      <c r="AD538" s="68">
        <f t="shared" si="500"/>
        <v>-3.73240138412218</v>
      </c>
      <c r="AE538" s="31">
        <f t="shared" si="501"/>
        <v>171.683996377221</v>
      </c>
      <c r="AF538" s="32" t="str">
        <f t="shared" si="502"/>
        <v>236,914774604583</v>
      </c>
      <c r="AG538" s="32" t="str">
        <f t="shared" si="484"/>
        <v>1+3282,57745920752i</v>
      </c>
      <c r="AH538" s="32">
        <f t="shared" si="503"/>
        <v>3282.57761152685</v>
      </c>
      <c r="AI538" s="32">
        <f t="shared" si="504"/>
        <v>1.57049168814387</v>
      </c>
      <c r="AJ538" s="32" t="str">
        <f t="shared" si="485"/>
        <v>1+156,144225086628i</v>
      </c>
      <c r="AK538" s="32">
        <f t="shared" si="505"/>
        <v>156.147427221532</v>
      </c>
      <c r="AL538" s="32">
        <f t="shared" si="506"/>
        <v>1.56439207887638</v>
      </c>
      <c r="AM538" s="32" t="str">
        <f t="shared" si="486"/>
        <v>1-7,42238736368472i</v>
      </c>
      <c r="AN538" s="32">
        <f t="shared" si="507"/>
        <v>7.48944818905816</v>
      </c>
      <c r="AO538" s="32">
        <f t="shared" si="508"/>
        <v>-1.43687519053149</v>
      </c>
      <c r="AP538" s="30" t="str">
        <f t="shared" si="509"/>
        <v>10,7592635030459-83,7151898622172i</v>
      </c>
      <c r="AQ538" s="32">
        <f t="shared" si="510"/>
        <v>38.5272359164165</v>
      </c>
      <c r="AR538" s="31">
        <f t="shared" si="511"/>
        <v>-82.6763659722161</v>
      </c>
      <c r="AS538" t="str">
        <f t="shared" si="487"/>
        <v>-0,000272527472527473</v>
      </c>
      <c r="AT538" t="str">
        <f t="shared" si="488"/>
        <v>2,23760251128605i</v>
      </c>
      <c r="AU538">
        <f t="shared" si="512"/>
        <v>2.23760251128605</v>
      </c>
      <c r="AV538">
        <f t="shared" si="513"/>
        <v>1.5707963267949</v>
      </c>
      <c r="AW538" t="str">
        <f t="shared" si="489"/>
        <v>1+114,561144408228i</v>
      </c>
      <c r="AX538">
        <f t="shared" si="514"/>
        <v>114.565508806634</v>
      </c>
      <c r="AY538">
        <f t="shared" si="515"/>
        <v>1.56206758540478</v>
      </c>
      <c r="AZ538" t="str">
        <f t="shared" si="490"/>
        <v>1+5476,99769117636i</v>
      </c>
      <c r="BA538">
        <f t="shared" si="516"/>
        <v>5476.99778246725</v>
      </c>
      <c r="BB538">
        <f t="shared" si="517"/>
        <v>1.57061374501465</v>
      </c>
      <c r="BC538" s="30" t="str">
        <f t="shared" si="518"/>
        <v>-0,0000497601564940111+0,00582237488158523i</v>
      </c>
      <c r="BD538" s="32">
        <f t="shared" si="519"/>
        <v>-44.6976795081877</v>
      </c>
      <c r="BE538" s="31">
        <f t="shared" si="520"/>
        <v>90.4896588766906</v>
      </c>
      <c r="BF538" s="30" t="str">
        <f t="shared" si="521"/>
        <v>-0,000515918286757753-0,00375345910875628i</v>
      </c>
      <c r="BG538" s="68">
        <f t="shared" si="522"/>
        <v>-48.4300808923099</v>
      </c>
      <c r="BH538" s="31">
        <f t="shared" si="523"/>
        <v>-97.8263447460888</v>
      </c>
      <c r="BI538" s="30" t="str">
        <f t="shared" si="476"/>
        <v>0,48688583602524+0,0668101465129609i</v>
      </c>
      <c r="BJ538" s="68">
        <f t="shared" si="524"/>
        <v>-6.17044359177123</v>
      </c>
      <c r="BK538" s="31">
        <f t="shared" si="477"/>
        <v>7.81329290447448</v>
      </c>
      <c r="BL538" s="32">
        <f t="shared" si="525"/>
        <v>-48.4300808923099</v>
      </c>
      <c r="BM538" s="31">
        <f t="shared" si="526"/>
        <v>-97.8263447460888</v>
      </c>
      <c r="BO538">
        <f t="shared" si="527"/>
        <v>0</v>
      </c>
      <c r="BP538">
        <f t="shared" si="528"/>
        <v>0</v>
      </c>
    </row>
    <row r="539" spans="14:68">
      <c r="N539" s="7">
        <v>21</v>
      </c>
      <c r="O539" s="18">
        <f t="shared" si="478"/>
        <v>1621810.09735893</v>
      </c>
      <c r="P539" s="86" t="str">
        <f t="shared" si="479"/>
        <v>96,0576923076923</v>
      </c>
      <c r="Q539" s="4" t="str">
        <f t="shared" si="480"/>
        <v>1+13602,2603424792i</v>
      </c>
      <c r="R539" s="4">
        <f t="shared" si="491"/>
        <v>13602.2603792378</v>
      </c>
      <c r="S539" s="4">
        <f t="shared" si="492"/>
        <v>1.57072280960194</v>
      </c>
      <c r="T539" s="4" t="str">
        <f t="shared" si="481"/>
        <v>1+159,781291316254i</v>
      </c>
      <c r="U539" s="4">
        <f t="shared" si="493"/>
        <v>159.784420563113</v>
      </c>
      <c r="V539" s="4">
        <f t="shared" si="494"/>
        <v>1.56453785350578</v>
      </c>
      <c r="W539" t="str">
        <f t="shared" si="482"/>
        <v>1-75,8598817898883i</v>
      </c>
      <c r="X539" s="4">
        <f t="shared" si="495"/>
        <v>75.8664726026973</v>
      </c>
      <c r="Y539" s="4">
        <f t="shared" si="496"/>
        <v>-1.55761489203656</v>
      </c>
      <c r="Z539" t="str">
        <f t="shared" si="483"/>
        <v>-20,4715754440439+130,038269185384i</v>
      </c>
      <c r="AA539" s="4">
        <f t="shared" si="497"/>
        <v>131.639799657594</v>
      </c>
      <c r="AB539" s="4">
        <f t="shared" si="498"/>
        <v>1.72694211793661</v>
      </c>
      <c r="AC539" s="67" t="str">
        <f t="shared" si="499"/>
        <v>-0,643086817328922+0,0966335762352104i</v>
      </c>
      <c r="AD539" s="68">
        <f t="shared" si="500"/>
        <v>-3.73763647131516</v>
      </c>
      <c r="AE539" s="31">
        <f t="shared" si="501"/>
        <v>171.454373877644</v>
      </c>
      <c r="AF539" s="32" t="str">
        <f t="shared" si="502"/>
        <v>236,914774604583</v>
      </c>
      <c r="AG539" s="32" t="str">
        <f t="shared" si="484"/>
        <v>1+3359,03851062579i</v>
      </c>
      <c r="AH539" s="32">
        <f t="shared" si="503"/>
        <v>3359.03865947791</v>
      </c>
      <c r="AI539" s="32">
        <f t="shared" si="504"/>
        <v>1.57049862256576</v>
      </c>
      <c r="AJ539" s="32" t="str">
        <f t="shared" si="485"/>
        <v>1+159,781291316254i</v>
      </c>
      <c r="AK539" s="32">
        <f t="shared" si="505"/>
        <v>159.784420563113</v>
      </c>
      <c r="AL539" s="32">
        <f t="shared" si="506"/>
        <v>1.56453785350578</v>
      </c>
      <c r="AM539" s="32" t="str">
        <f t="shared" si="486"/>
        <v>1-7,59527697525174i</v>
      </c>
      <c r="AN539" s="32">
        <f t="shared" si="507"/>
        <v>7.66082452029736</v>
      </c>
      <c r="AO539" s="32">
        <f t="shared" si="508"/>
        <v>-1.43988850336078</v>
      </c>
      <c r="AP539" s="30" t="str">
        <f t="shared" si="509"/>
        <v>10,759262558417-85,6619940885852i</v>
      </c>
      <c r="AQ539" s="32">
        <f t="shared" si="510"/>
        <v>38.7237417922364</v>
      </c>
      <c r="AR539" s="31">
        <f t="shared" si="511"/>
        <v>-82.8410611217701</v>
      </c>
      <c r="AS539" t="str">
        <f t="shared" si="487"/>
        <v>-0,000272527472527473</v>
      </c>
      <c r="AT539" t="str">
        <f t="shared" si="488"/>
        <v>2,28972296930882i</v>
      </c>
      <c r="AU539">
        <f t="shared" si="512"/>
        <v>2.28972296930882</v>
      </c>
      <c r="AV539">
        <f t="shared" si="513"/>
        <v>1.5707963267949</v>
      </c>
      <c r="AW539" t="str">
        <f t="shared" si="489"/>
        <v>1+117,229616260603i</v>
      </c>
      <c r="AX539">
        <f t="shared" si="514"/>
        <v>117.233881316829</v>
      </c>
      <c r="AY539">
        <f t="shared" si="515"/>
        <v>1.56226626606621</v>
      </c>
      <c r="AZ539" t="str">
        <f t="shared" si="490"/>
        <v>1+5604,5733561186i</v>
      </c>
      <c r="BA539">
        <f t="shared" si="516"/>
        <v>5604.57344533146</v>
      </c>
      <c r="BB539">
        <f t="shared" si="517"/>
        <v>1.57061790108328</v>
      </c>
      <c r="BC539" s="30" t="str">
        <f t="shared" si="518"/>
        <v>-0,0000475207434829779+0,0056898605514356i</v>
      </c>
      <c r="BD539" s="32">
        <f t="shared" si="519"/>
        <v>-44.8976646224187</v>
      </c>
      <c r="BE539" s="31">
        <f t="shared" si="520"/>
        <v>90.4785134385117</v>
      </c>
      <c r="BF539" s="30" t="str">
        <f t="shared" si="521"/>
        <v>-0,000519271609681296-0,00366366641245622i</v>
      </c>
      <c r="BG539" s="68">
        <f t="shared" si="522"/>
        <v>-48.6353010937338</v>
      </c>
      <c r="BH539" s="31">
        <f t="shared" si="523"/>
        <v>-98.0671126838442</v>
      </c>
      <c r="BI539" s="30" t="str">
        <f t="shared" si="476"/>
        <v>0,486893512765846+0,065289425240999i</v>
      </c>
      <c r="BJ539" s="68">
        <f t="shared" si="524"/>
        <v>-6.17392283018224</v>
      </c>
      <c r="BK539" s="31">
        <f t="shared" si="477"/>
        <v>7.63745231674161</v>
      </c>
      <c r="BL539" s="32">
        <f t="shared" si="525"/>
        <v>-48.6353010937338</v>
      </c>
      <c r="BM539" s="31">
        <f t="shared" si="526"/>
        <v>-98.0671126838442</v>
      </c>
      <c r="BO539">
        <f t="shared" si="527"/>
        <v>0</v>
      </c>
      <c r="BP539">
        <f t="shared" si="528"/>
        <v>0</v>
      </c>
    </row>
    <row r="540" spans="14:68">
      <c r="N540" s="7">
        <v>22</v>
      </c>
      <c r="O540" s="18">
        <f t="shared" si="478"/>
        <v>1659586.90743756</v>
      </c>
      <c r="P540" s="86" t="str">
        <f t="shared" si="479"/>
        <v>96,0576923076923</v>
      </c>
      <c r="Q540" s="4" t="str">
        <f t="shared" si="480"/>
        <v>1+13919,0976876374i</v>
      </c>
      <c r="R540" s="4">
        <f t="shared" si="491"/>
        <v>13919.0977235593</v>
      </c>
      <c r="S540" s="4">
        <f t="shared" si="492"/>
        <v>1.57072448305756</v>
      </c>
      <c r="T540" s="4" t="str">
        <f t="shared" si="481"/>
        <v>1+163,503075701493i</v>
      </c>
      <c r="U540" s="4">
        <f t="shared" si="493"/>
        <v>163.506133719344</v>
      </c>
      <c r="V540" s="4">
        <f t="shared" si="494"/>
        <v>1.56468031015652</v>
      </c>
      <c r="W540" t="str">
        <f t="shared" si="482"/>
        <v>1-77,6268854308394i</v>
      </c>
      <c r="X540" s="4">
        <f t="shared" si="495"/>
        <v>77.6333262310244</v>
      </c>
      <c r="Y540" s="4">
        <f t="shared" si="496"/>
        <v>-1.55791490454677</v>
      </c>
      <c r="Z540" t="str">
        <f t="shared" si="483"/>
        <v>-21,4834996190872+133,067249585722i</v>
      </c>
      <c r="AA540" s="4">
        <f t="shared" si="497"/>
        <v>134.79033225047</v>
      </c>
      <c r="AB540" s="4">
        <f t="shared" si="498"/>
        <v>1.73086355270881</v>
      </c>
      <c r="AC540" s="67" t="str">
        <f t="shared" si="499"/>
        <v>-0,642282360158453+0,0991944720051477i</v>
      </c>
      <c r="AD540" s="68">
        <f t="shared" si="500"/>
        <v>-3.74310870951349</v>
      </c>
      <c r="AE540" s="31">
        <f t="shared" si="501"/>
        <v>171.220569047833</v>
      </c>
      <c r="AF540" s="32" t="str">
        <f t="shared" si="502"/>
        <v>236,914774604583</v>
      </c>
      <c r="AG540" s="32" t="str">
        <f t="shared" si="484"/>
        <v>1+3437,28056872457i</v>
      </c>
      <c r="AH540" s="32">
        <f t="shared" si="503"/>
        <v>3437.2807141884</v>
      </c>
      <c r="AI540" s="32">
        <f t="shared" si="504"/>
        <v>1.57050539914096</v>
      </c>
      <c r="AJ540" s="32" t="str">
        <f t="shared" si="485"/>
        <v>1+163,503075701493i</v>
      </c>
      <c r="AK540" s="32">
        <f t="shared" si="505"/>
        <v>163.506133719344</v>
      </c>
      <c r="AL540" s="32">
        <f t="shared" si="506"/>
        <v>1.56468031015652</v>
      </c>
      <c r="AM540" s="32" t="str">
        <f t="shared" si="486"/>
        <v>1-7,7721937032065i</v>
      </c>
      <c r="AN540" s="32">
        <f t="shared" si="507"/>
        <v>7.83626154235314</v>
      </c>
      <c r="AO540" s="32">
        <f t="shared" si="508"/>
        <v>-1.44283553697991</v>
      </c>
      <c r="AP540" s="30" t="str">
        <f t="shared" si="509"/>
        <v>10,7592616563034-87,6542174380652i</v>
      </c>
      <c r="AQ540" s="32">
        <f t="shared" si="510"/>
        <v>38.9204023152377</v>
      </c>
      <c r="AR540" s="31">
        <f t="shared" si="511"/>
        <v>-83.0021398145368</v>
      </c>
      <c r="AS540" t="str">
        <f t="shared" si="487"/>
        <v>-0,000272527472527473</v>
      </c>
      <c r="AT540" t="str">
        <f t="shared" si="488"/>
        <v>2,343057468758i</v>
      </c>
      <c r="AU540">
        <f t="shared" si="512"/>
        <v>2.343057468758</v>
      </c>
      <c r="AV540">
        <f t="shared" si="513"/>
        <v>1.5707963267949</v>
      </c>
      <c r="AW540" t="str">
        <f t="shared" si="489"/>
        <v>1+119,960244807237i</v>
      </c>
      <c r="AX540">
        <f t="shared" si="514"/>
        <v>119.964412782342</v>
      </c>
      <c r="AY540">
        <f t="shared" si="515"/>
        <v>1.56246042485439</v>
      </c>
      <c r="AZ540" t="str">
        <f t="shared" si="490"/>
        <v>1+5735,12064003961i</v>
      </c>
      <c r="BA540">
        <f t="shared" si="516"/>
        <v>5735.12072722173</v>
      </c>
      <c r="BB540">
        <f t="shared" si="517"/>
        <v>1.57062196254824</v>
      </c>
      <c r="BC540" s="30" t="str">
        <f t="shared" si="518"/>
        <v>-0,0000453821063233936+0,0055603613407936i</v>
      </c>
      <c r="BD540" s="32">
        <f t="shared" si="519"/>
        <v>-45.097650406572</v>
      </c>
      <c r="BE540" s="31">
        <f t="shared" si="520"/>
        <v>90.4676216641947</v>
      </c>
      <c r="BF540" s="30" t="str">
        <f t="shared" si="521"/>
        <v>-0,000522408980999505-0,00357582365937396i</v>
      </c>
      <c r="BG540" s="68">
        <f t="shared" si="522"/>
        <v>-48.8407591160855</v>
      </c>
      <c r="BH540" s="31">
        <f t="shared" si="523"/>
        <v>-98.3118092879725</v>
      </c>
      <c r="BI540" s="30" t="str">
        <f t="shared" si="476"/>
        <v>0,486900844043686+0,0638033155846605i</v>
      </c>
      <c r="BJ540" s="68">
        <f t="shared" si="524"/>
        <v>-6.1772480913343</v>
      </c>
      <c r="BK540" s="31">
        <f t="shared" si="477"/>
        <v>7.46548184965791</v>
      </c>
      <c r="BL540" s="32">
        <f t="shared" si="525"/>
        <v>-48.8407591160855</v>
      </c>
      <c r="BM540" s="31">
        <f t="shared" si="526"/>
        <v>-98.3118092879725</v>
      </c>
      <c r="BO540">
        <f t="shared" si="527"/>
        <v>0</v>
      </c>
      <c r="BP540">
        <f t="shared" si="528"/>
        <v>0</v>
      </c>
    </row>
    <row r="541" spans="14:68">
      <c r="N541" s="7">
        <v>23</v>
      </c>
      <c r="O541" s="18">
        <f t="shared" si="478"/>
        <v>1698243.65246175</v>
      </c>
      <c r="P541" s="86" t="str">
        <f t="shared" si="479"/>
        <v>96,0576923076923</v>
      </c>
      <c r="Q541" s="4" t="str">
        <f t="shared" si="480"/>
        <v>1+14243,3151226307i</v>
      </c>
      <c r="R541" s="4">
        <f t="shared" si="491"/>
        <v>14243.3151577349</v>
      </c>
      <c r="S541" s="4">
        <f t="shared" si="492"/>
        <v>1.57072611842067</v>
      </c>
      <c r="T541" s="4" t="str">
        <f t="shared" si="481"/>
        <v>1+167,311551581689i</v>
      </c>
      <c r="U541" s="4">
        <f t="shared" si="493"/>
        <v>167.314539991814</v>
      </c>
      <c r="V541" s="4">
        <f t="shared" si="494"/>
        <v>1.56481952433787</v>
      </c>
      <c r="W541" t="str">
        <f t="shared" si="482"/>
        <v>1-79,4350478739593i</v>
      </c>
      <c r="X541" s="4">
        <f t="shared" si="495"/>
        <v>79.4413420753842</v>
      </c>
      <c r="Y541" s="4">
        <f t="shared" si="496"/>
        <v>-1.5582080901793</v>
      </c>
      <c r="Z541" t="str">
        <f t="shared" si="483"/>
        <v>-22,543114311238+136,166784003145i</v>
      </c>
      <c r="AA541" s="4">
        <f t="shared" si="497"/>
        <v>138.020234272402</v>
      </c>
      <c r="AB541" s="4">
        <f t="shared" si="498"/>
        <v>1.73486334800321</v>
      </c>
      <c r="AC541" s="67" t="str">
        <f t="shared" si="499"/>
        <v>-0,641442064010217+0,10179549014609i</v>
      </c>
      <c r="AD541" s="68">
        <f t="shared" si="500"/>
        <v>-3.74882878003802</v>
      </c>
      <c r="AE541" s="31">
        <f t="shared" si="501"/>
        <v>170.982482044824</v>
      </c>
      <c r="AF541" s="32" t="str">
        <f t="shared" si="502"/>
        <v>236,914774604583</v>
      </c>
      <c r="AG541" s="32" t="str">
        <f t="shared" si="484"/>
        <v>1+3517,34511847867i</v>
      </c>
      <c r="AH541" s="32">
        <f t="shared" si="503"/>
        <v>3517.34526063134</v>
      </c>
      <c r="AI541" s="32">
        <f t="shared" si="504"/>
        <v>1.5705120214625</v>
      </c>
      <c r="AJ541" s="32" t="str">
        <f t="shared" si="485"/>
        <v>1+167,311551581689i</v>
      </c>
      <c r="AK541" s="32">
        <f t="shared" si="505"/>
        <v>167.314539991814</v>
      </c>
      <c r="AL541" s="32">
        <f t="shared" si="506"/>
        <v>1.56481952433787</v>
      </c>
      <c r="AM541" s="32" t="str">
        <f t="shared" si="486"/>
        <v>1-7,95323135113986i</v>
      </c>
      <c r="AN541" s="32">
        <f t="shared" si="507"/>
        <v>8.01585235173116</v>
      </c>
      <c r="AO541" s="32">
        <f t="shared" si="508"/>
        <v>-1.44571764907631</v>
      </c>
      <c r="AP541" s="30" t="str">
        <f t="shared" si="509"/>
        <v>10,7592607947917-89,6929162138484i</v>
      </c>
      <c r="AQ541" s="32">
        <f t="shared" si="510"/>
        <v>39.117210751518</v>
      </c>
      <c r="AR541" s="31">
        <f t="shared" si="511"/>
        <v>-83.1596757197796</v>
      </c>
      <c r="AS541" t="str">
        <f t="shared" si="487"/>
        <v>-0,000272527472527473</v>
      </c>
      <c r="AT541" t="str">
        <f t="shared" si="488"/>
        <v>2,39763428829115i</v>
      </c>
      <c r="AU541">
        <f t="shared" si="512"/>
        <v>2.39763428829115</v>
      </c>
      <c r="AV541">
        <f t="shared" si="513"/>
        <v>1.5707963267949</v>
      </c>
      <c r="AW541" t="str">
        <f t="shared" si="489"/>
        <v>1+122,75447786353i</v>
      </c>
      <c r="AX541">
        <f t="shared" si="514"/>
        <v>122.758550967124</v>
      </c>
      <c r="AY541">
        <f t="shared" si="515"/>
        <v>1.56265016465629</v>
      </c>
      <c r="AZ541" t="str">
        <f t="shared" si="490"/>
        <v>1+5868,70876083728i</v>
      </c>
      <c r="BA541">
        <f t="shared" si="516"/>
        <v>5868.7088460349</v>
      </c>
      <c r="BB541">
        <f t="shared" si="517"/>
        <v>1.57062593156299</v>
      </c>
      <c r="BC541" s="30" t="str">
        <f t="shared" si="518"/>
        <v>-0,0000433397106161656+0,00543380870224186i</v>
      </c>
      <c r="BD541" s="32">
        <f t="shared" si="519"/>
        <v>-45.2976368305004</v>
      </c>
      <c r="BE541" s="31">
        <f t="shared" si="520"/>
        <v>90.4569777821337</v>
      </c>
      <c r="BF541" s="30" t="str">
        <f t="shared" si="521"/>
        <v>-0,000525337306773561-0,00348988525648766i</v>
      </c>
      <c r="BG541" s="68">
        <f t="shared" si="522"/>
        <v>-49.0464656105384</v>
      </c>
      <c r="BH541" s="31">
        <f t="shared" si="523"/>
        <v>-98.5605401730423</v>
      </c>
      <c r="BI541" s="30" t="str">
        <f t="shared" si="476"/>
        <v>0,486907845402969+0,062351029969457i</v>
      </c>
      <c r="BJ541" s="68">
        <f t="shared" si="524"/>
        <v>-6.18042607898233</v>
      </c>
      <c r="BK541" s="31">
        <f t="shared" si="477"/>
        <v>7.29730206235419</v>
      </c>
      <c r="BL541" s="32">
        <f t="shared" si="525"/>
        <v>-49.0464656105384</v>
      </c>
      <c r="BM541" s="31">
        <f t="shared" si="526"/>
        <v>-98.5605401730423</v>
      </c>
      <c r="BO541">
        <f t="shared" si="527"/>
        <v>0</v>
      </c>
      <c r="BP541">
        <f t="shared" si="528"/>
        <v>0</v>
      </c>
    </row>
    <row r="542" spans="14:68">
      <c r="N542" s="7">
        <v>24</v>
      </c>
      <c r="O542" s="18">
        <f t="shared" si="478"/>
        <v>1737800.82874938</v>
      </c>
      <c r="P542" s="86" t="str">
        <f t="shared" si="479"/>
        <v>96,0576923076923</v>
      </c>
      <c r="Q542" s="4" t="str">
        <f t="shared" si="480"/>
        <v>1+14575,0845518344i</v>
      </c>
      <c r="R542" s="4">
        <f t="shared" si="491"/>
        <v>14575.0845861395</v>
      </c>
      <c r="S542" s="4">
        <f t="shared" si="492"/>
        <v>1.57072771655837</v>
      </c>
      <c r="T542" s="4" t="str">
        <f t="shared" si="481"/>
        <v>1+171,208738261161i</v>
      </c>
      <c r="U542" s="4">
        <f t="shared" si="493"/>
        <v>171.21165864794</v>
      </c>
      <c r="V542" s="4">
        <f t="shared" si="494"/>
        <v>1.56495556984143</v>
      </c>
      <c r="W542" t="str">
        <f t="shared" si="482"/>
        <v>1-81,2853278309084i</v>
      </c>
      <c r="X542" s="4">
        <f t="shared" si="495"/>
        <v>81.2914787697841</v>
      </c>
      <c r="Y542" s="4">
        <f t="shared" si="496"/>
        <v>-1.55849460418335</v>
      </c>
      <c r="Z542" t="str">
        <f t="shared" si="483"/>
        <v>-23,6526671053228+139,338515851824i</v>
      </c>
      <c r="AA542" s="4">
        <f t="shared" si="497"/>
        <v>141.33177512854</v>
      </c>
      <c r="AB542" s="4">
        <f t="shared" si="498"/>
        <v>1.7389431753631</v>
      </c>
      <c r="AC542" s="67" t="str">
        <f t="shared" si="499"/>
        <v>-0,640564442706109+0,10443717016252i</v>
      </c>
      <c r="AD542" s="68">
        <f t="shared" si="500"/>
        <v>-3.75480780401936</v>
      </c>
      <c r="AE542" s="31">
        <f t="shared" si="501"/>
        <v>170.740012379388</v>
      </c>
      <c r="AF542" s="32" t="str">
        <f t="shared" si="502"/>
        <v>236,914774604583</v>
      </c>
      <c r="AG542" s="32" t="str">
        <f t="shared" si="484"/>
        <v>1+3599,27461117213i</v>
      </c>
      <c r="AH542" s="32">
        <f t="shared" si="503"/>
        <v>3599.27475008901</v>
      </c>
      <c r="AI542" s="32">
        <f t="shared" si="504"/>
        <v>1.57051849304163</v>
      </c>
      <c r="AJ542" s="32" t="str">
        <f t="shared" si="485"/>
        <v>1+171,208738261161i</v>
      </c>
      <c r="AK542" s="32">
        <f t="shared" si="505"/>
        <v>171.21165864794</v>
      </c>
      <c r="AL542" s="32">
        <f t="shared" si="506"/>
        <v>1.56495556984143</v>
      </c>
      <c r="AM542" s="32" t="str">
        <f t="shared" si="486"/>
        <v>1-8,13848590760897i</v>
      </c>
      <c r="AN542" s="32">
        <f t="shared" si="507"/>
        <v>8.19969224229482</v>
      </c>
      <c r="AO542" s="32">
        <f t="shared" si="508"/>
        <v>-1.44853617615816</v>
      </c>
      <c r="AP542" s="30" t="str">
        <f t="shared" si="509"/>
        <v>10,7592599720542-91,7791713610107i</v>
      </c>
      <c r="AQ542" s="32">
        <f t="shared" si="510"/>
        <v>39.3141606507982</v>
      </c>
      <c r="AR542" s="31">
        <f t="shared" si="511"/>
        <v>-83.3137413870082</v>
      </c>
      <c r="AS542" t="str">
        <f t="shared" si="487"/>
        <v>-0,000272527472527473</v>
      </c>
      <c r="AT542" t="str">
        <f t="shared" si="488"/>
        <v>2,45348236526039i</v>
      </c>
      <c r="AU542">
        <f t="shared" si="512"/>
        <v>2.45348236526039</v>
      </c>
      <c r="AV542">
        <f t="shared" si="513"/>
        <v>1.5707963267949</v>
      </c>
      <c r="AW542" t="str">
        <f t="shared" si="489"/>
        <v>1+125,613796968833i</v>
      </c>
      <c r="AX542">
        <f t="shared" si="514"/>
        <v>125.617777360241</v>
      </c>
      <c r="AY542">
        <f t="shared" si="515"/>
        <v>1.56283558601979</v>
      </c>
      <c r="AZ542" t="str">
        <f t="shared" si="490"/>
        <v>1+6005,40854870142i</v>
      </c>
      <c r="BA542">
        <f t="shared" si="516"/>
        <v>6005.4086319597</v>
      </c>
      <c r="BB542">
        <f t="shared" si="517"/>
        <v>1.57062981023193</v>
      </c>
      <c r="BC542" s="30" t="str">
        <f t="shared" si="518"/>
        <v>-0,0000413892259328089+0,00531013564301528i</v>
      </c>
      <c r="BD542" s="32">
        <f t="shared" si="519"/>
        <v>-45.4976238654129</v>
      </c>
      <c r="BE542" s="31">
        <f t="shared" si="520"/>
        <v>90.4465761519343</v>
      </c>
      <c r="BF542" s="30" t="str">
        <f t="shared" si="521"/>
        <v>-0,000528063073291962-0,00340580665249357i</v>
      </c>
      <c r="BG542" s="68">
        <f t="shared" si="522"/>
        <v>-49.2524316694323</v>
      </c>
      <c r="BH542" s="31">
        <f t="shared" si="523"/>
        <v>-98.8134114686779</v>
      </c>
      <c r="BI542" s="30" t="str">
        <f t="shared" si="476"/>
        <v>0,486914531688657+0,0609317987294595i</v>
      </c>
      <c r="BJ542" s="68">
        <f t="shared" si="524"/>
        <v>-6.18346321461474</v>
      </c>
      <c r="BK542" s="31">
        <f t="shared" si="477"/>
        <v>7.13283476492616</v>
      </c>
      <c r="BL542" s="32">
        <f t="shared" si="525"/>
        <v>-49.2524316694323</v>
      </c>
      <c r="BM542" s="31">
        <f t="shared" si="526"/>
        <v>-98.8134114686779</v>
      </c>
      <c r="BO542">
        <f t="shared" si="527"/>
        <v>0</v>
      </c>
      <c r="BP542">
        <f t="shared" si="528"/>
        <v>0</v>
      </c>
    </row>
    <row r="543" spans="14:68">
      <c r="N543" s="7">
        <v>25</v>
      </c>
      <c r="O543" s="18">
        <f t="shared" si="478"/>
        <v>1778279.41003892</v>
      </c>
      <c r="P543" s="86" t="str">
        <f t="shared" si="479"/>
        <v>96,0576923076923</v>
      </c>
      <c r="Q543" s="4" t="str">
        <f t="shared" si="480"/>
        <v>1+14914,5818837915i</v>
      </c>
      <c r="R543" s="4">
        <f t="shared" si="491"/>
        <v>14914.5819173157</v>
      </c>
      <c r="S543" s="4">
        <f t="shared" si="492"/>
        <v>1.57072927831802</v>
      </c>
      <c r="T543" s="4" t="str">
        <f t="shared" si="481"/>
        <v>1+175,196702079875i</v>
      </c>
      <c r="U543" s="4">
        <f t="shared" si="493"/>
        <v>175.19955599163</v>
      </c>
      <c r="V543" s="4">
        <f t="shared" si="494"/>
        <v>1.56508851878017</v>
      </c>
      <c r="W543" t="str">
        <f t="shared" si="482"/>
        <v>1-83,1787063446118i</v>
      </c>
      <c r="X543" s="4">
        <f t="shared" si="495"/>
        <v>83.18471728126</v>
      </c>
      <c r="Y543" s="4">
        <f t="shared" si="496"/>
        <v>-1.55877459828415</v>
      </c>
      <c r="Z543" t="str">
        <f t="shared" si="483"/>
        <v>-24,8145115115786+142,584126825972i</v>
      </c>
      <c r="AA543" s="4">
        <f t="shared" si="497"/>
        <v>144.727306353304</v>
      </c>
      <c r="AB543" s="4">
        <f t="shared" si="498"/>
        <v>1.74310471857772</v>
      </c>
      <c r="AC543" s="67" t="str">
        <f t="shared" si="499"/>
        <v>-0,639647957735132+0,107120019164674i</v>
      </c>
      <c r="AD543" s="68">
        <f t="shared" si="500"/>
        <v>-3.7610573581952</v>
      </c>
      <c r="AE543" s="31">
        <f t="shared" si="501"/>
        <v>170.493058967508</v>
      </c>
      <c r="AF543" s="32" t="str">
        <f t="shared" si="502"/>
        <v>236,914774604583</v>
      </c>
      <c r="AG543" s="32" t="str">
        <f t="shared" si="484"/>
        <v>1+3683,11248690645i</v>
      </c>
      <c r="AH543" s="32">
        <f t="shared" si="503"/>
        <v>3683.11262266119</v>
      </c>
      <c r="AI543" s="32">
        <f t="shared" si="504"/>
        <v>1.57052481730965</v>
      </c>
      <c r="AJ543" s="32" t="str">
        <f t="shared" si="485"/>
        <v>1+175,196702079875i</v>
      </c>
      <c r="AK543" s="32">
        <f t="shared" si="505"/>
        <v>175.19955599163</v>
      </c>
      <c r="AL543" s="32">
        <f t="shared" si="506"/>
        <v>1.56508851878017</v>
      </c>
      <c r="AM543" s="32" t="str">
        <f t="shared" si="486"/>
        <v>1-8,32805559703188i</v>
      </c>
      <c r="AN543" s="32">
        <f t="shared" si="507"/>
        <v>8.38787875611314</v>
      </c>
      <c r="AO543" s="32">
        <f t="shared" si="508"/>
        <v>-1.45129243342487</v>
      </c>
      <c r="AP543" s="30" t="str">
        <f t="shared" si="509"/>
        <v>10,7592591863461-93,9140890396491i</v>
      </c>
      <c r="AQ543" s="32">
        <f t="shared" si="510"/>
        <v>39.5112458353101</v>
      </c>
      <c r="AR543" s="31">
        <f t="shared" si="511"/>
        <v>-83.4644082364288</v>
      </c>
      <c r="AS543" t="str">
        <f t="shared" si="487"/>
        <v>-0,000272527472527473</v>
      </c>
      <c r="AT543" t="str">
        <f t="shared" si="488"/>
        <v>2,51063131105535i</v>
      </c>
      <c r="AU543">
        <f t="shared" si="512"/>
        <v>2.51063131105535</v>
      </c>
      <c r="AV543">
        <f t="shared" si="513"/>
        <v>1.5707963267949</v>
      </c>
      <c r="AW543" t="str">
        <f t="shared" si="489"/>
        <v>1+128,539718171983i</v>
      </c>
      <c r="AX543">
        <f t="shared" si="514"/>
        <v>128.543607961395</v>
      </c>
      <c r="AY543">
        <f t="shared" si="515"/>
        <v>1.56301678720671</v>
      </c>
      <c r="AZ543" t="str">
        <f t="shared" si="490"/>
        <v>1+6145,29248366907i</v>
      </c>
      <c r="BA543">
        <f t="shared" si="516"/>
        <v>6145.29256503216</v>
      </c>
      <c r="BB543">
        <f t="shared" si="517"/>
        <v>1.57063360061159</v>
      </c>
      <c r="BC543" s="30" t="str">
        <f t="shared" si="518"/>
        <v>-0,0000395265166450169+0,00518927668999169i</v>
      </c>
      <c r="BD543" s="32">
        <f t="shared" si="519"/>
        <v>-45.6976114838143</v>
      </c>
      <c r="BE543" s="31">
        <f t="shared" si="520"/>
        <v>90.4364112614382</v>
      </c>
      <c r="BF543" s="30" t="str">
        <f t="shared" si="521"/>
        <v>-0,000530592362834337-0,00332354431809624i</v>
      </c>
      <c r="BG543" s="68">
        <f t="shared" si="522"/>
        <v>-49.4586688420095</v>
      </c>
      <c r="BH543" s="31">
        <f t="shared" si="523"/>
        <v>-99.0705297710536</v>
      </c>
      <c r="BI543" s="30" t="str">
        <f t="shared" si="476"/>
        <v>0,486920917077938+0,0595448697009121i</v>
      </c>
      <c r="BJ543" s="68">
        <f t="shared" si="524"/>
        <v>-6.1863656485042</v>
      </c>
      <c r="BK543" s="31">
        <f t="shared" si="477"/>
        <v>6.97200302500944</v>
      </c>
      <c r="BL543" s="32">
        <f t="shared" si="525"/>
        <v>-49.4586688420095</v>
      </c>
      <c r="BM543" s="31">
        <f t="shared" si="526"/>
        <v>-99.0705297710536</v>
      </c>
      <c r="BO543">
        <f t="shared" si="527"/>
        <v>0</v>
      </c>
      <c r="BP543">
        <f t="shared" si="528"/>
        <v>0</v>
      </c>
    </row>
    <row r="544" spans="14:68">
      <c r="N544" s="7">
        <v>26</v>
      </c>
      <c r="O544" s="18">
        <f t="shared" si="478"/>
        <v>1819700.85860998</v>
      </c>
      <c r="P544" s="86" t="str">
        <f t="shared" si="479"/>
        <v>96,0576923076923</v>
      </c>
      <c r="Q544" s="4" t="str">
        <f t="shared" si="480"/>
        <v>1+15261,9871244814i</v>
      </c>
      <c r="R544" s="4">
        <f t="shared" si="491"/>
        <v>15261.9871572425</v>
      </c>
      <c r="S544" s="4">
        <f t="shared" si="492"/>
        <v>1.57073080452768</v>
      </c>
      <c r="T544" s="4" t="str">
        <f t="shared" si="481"/>
        <v>1+179,277557509035i</v>
      </c>
      <c r="U544" s="4">
        <f t="shared" si="493"/>
        <v>179.28034645885</v>
      </c>
      <c r="V544" s="4">
        <f t="shared" si="494"/>
        <v>1.56521844162657</v>
      </c>
      <c r="W544" t="str">
        <f t="shared" si="482"/>
        <v>1-85,1161873094201i</v>
      </c>
      <c r="X544" s="4">
        <f t="shared" si="495"/>
        <v>85.1220614299976</v>
      </c>
      <c r="Y544" s="4">
        <f t="shared" si="496"/>
        <v>-1.55904822076257</v>
      </c>
      <c r="Z544" t="str">
        <f t="shared" si="483"/>
        <v>-26,0311119577626+145,905337791487i</v>
      </c>
      <c r="AA544" s="4">
        <f t="shared" si="497"/>
        <v>148.209265519418</v>
      </c>
      <c r="AB544" s="4">
        <f t="shared" si="498"/>
        <v>1.7473496726397</v>
      </c>
      <c r="AC544" s="67" t="str">
        <f t="shared" si="499"/>
        <v>-0,63869101733546+0,109844508968514i</v>
      </c>
      <c r="AD544" s="68">
        <f t="shared" si="500"/>
        <v>-3.76758949099103</v>
      </c>
      <c r="AE544" s="31">
        <f t="shared" si="501"/>
        <v>170.241520187725</v>
      </c>
      <c r="AF544" s="32" t="str">
        <f t="shared" si="502"/>
        <v>236,914774604583</v>
      </c>
      <c r="AG544" s="32" t="str">
        <f t="shared" si="484"/>
        <v>1+3768,90319763312i</v>
      </c>
      <c r="AH544" s="32">
        <f t="shared" si="503"/>
        <v>3768.90333029771</v>
      </c>
      <c r="AI544" s="32">
        <f t="shared" si="504"/>
        <v>1.57053099761978</v>
      </c>
      <c r="AJ544" s="32" t="str">
        <f t="shared" si="485"/>
        <v>1+179,277557509035i</v>
      </c>
      <c r="AK544" s="32">
        <f t="shared" si="505"/>
        <v>179.28034645885</v>
      </c>
      <c r="AL544" s="32">
        <f t="shared" si="506"/>
        <v>1.56521844162657</v>
      </c>
      <c r="AM544" s="32" t="str">
        <f t="shared" si="486"/>
        <v>1-8,52204093176725i</v>
      </c>
      <c r="AN544" s="32">
        <f t="shared" si="507"/>
        <v>8.58051173548037</v>
      </c>
      <c r="AO544" s="32">
        <f t="shared" si="508"/>
        <v>-1.45398771467739</v>
      </c>
      <c r="AP544" s="30" t="str">
        <f t="shared" si="509"/>
        <v>10,7592584360006-96,0988012113774i</v>
      </c>
      <c r="AQ544" s="32">
        <f t="shared" si="510"/>
        <v>39.708460389046</v>
      </c>
      <c r="AR544" s="31">
        <f t="shared" si="511"/>
        <v>-83.611746551724</v>
      </c>
      <c r="AS544" t="str">
        <f t="shared" si="487"/>
        <v>-0,000272527472527473</v>
      </c>
      <c r="AT544" t="str">
        <f t="shared" si="488"/>
        <v>2,56911142680358i</v>
      </c>
      <c r="AU544">
        <f t="shared" si="512"/>
        <v>2.56911142680358</v>
      </c>
      <c r="AV544">
        <f t="shared" si="513"/>
        <v>1.5707963267949</v>
      </c>
      <c r="AW544" t="str">
        <f t="shared" si="489"/>
        <v>1+131,533792835134i</v>
      </c>
      <c r="AX544">
        <f t="shared" si="514"/>
        <v>131.537594084718</v>
      </c>
      <c r="AY544">
        <f t="shared" si="515"/>
        <v>1.56319386424471</v>
      </c>
      <c r="AZ544" t="str">
        <f t="shared" si="490"/>
        <v>1+6288,43473405416i</v>
      </c>
      <c r="BA544">
        <f t="shared" si="516"/>
        <v>6288.4348135652</v>
      </c>
      <c r="BB544">
        <f t="shared" si="517"/>
        <v>1.57063730471168</v>
      </c>
      <c r="BC544" s="30" t="str">
        <f t="shared" si="518"/>
        <v>-0,000037747633166111+0,00507116785545381i</v>
      </c>
      <c r="BD544" s="32">
        <f t="shared" si="519"/>
        <v>-45.8975996594465</v>
      </c>
      <c r="BE544" s="31">
        <f t="shared" si="520"/>
        <v>90.4264777238145</v>
      </c>
      <c r="BF544" s="30" t="str">
        <f t="shared" si="521"/>
        <v>-0,000532930868750367-0,00324305572690853i</v>
      </c>
      <c r="BG544" s="68">
        <f t="shared" si="522"/>
        <v>-49.6651891504376</v>
      </c>
      <c r="BH544" s="31">
        <f t="shared" si="523"/>
        <v>-99.3320020884607</v>
      </c>
      <c r="BI544" s="30" t="str">
        <f t="shared" si="476"/>
        <v>0,486927015110201+0,0581895078249966i</v>
      </c>
      <c r="BJ544" s="68">
        <f t="shared" si="524"/>
        <v>-6.18913927040059</v>
      </c>
      <c r="BK544" s="31">
        <f t="shared" si="477"/>
        <v>6.81473117209052</v>
      </c>
      <c r="BL544" s="32">
        <f t="shared" si="525"/>
        <v>-49.6651891504376</v>
      </c>
      <c r="BM544" s="31">
        <f t="shared" si="526"/>
        <v>-99.3320020884607</v>
      </c>
      <c r="BO544">
        <f t="shared" si="527"/>
        <v>0</v>
      </c>
      <c r="BP544">
        <f t="shared" si="528"/>
        <v>0</v>
      </c>
    </row>
    <row r="545" spans="14:68">
      <c r="N545" s="7">
        <v>27</v>
      </c>
      <c r="O545" s="18">
        <f t="shared" si="478"/>
        <v>1862087.13666287</v>
      </c>
      <c r="P545" s="86" t="str">
        <f t="shared" si="479"/>
        <v>96,0576923076923</v>
      </c>
      <c r="Q545" s="4" t="str">
        <f t="shared" si="480"/>
        <v>1+15617,484472761i</v>
      </c>
      <c r="R545" s="4">
        <f t="shared" si="491"/>
        <v>15617.4845047764</v>
      </c>
      <c r="S545" s="4">
        <f t="shared" si="492"/>
        <v>1.57073229599657</v>
      </c>
      <c r="T545" s="4" t="str">
        <f t="shared" si="481"/>
        <v>1+183,453468272207i</v>
      </c>
      <c r="U545" s="4">
        <f t="shared" si="493"/>
        <v>183.456193738728</v>
      </c>
      <c r="V545" s="4">
        <f t="shared" si="494"/>
        <v>1.56534540724988</v>
      </c>
      <c r="W545" t="str">
        <f t="shared" si="482"/>
        <v>1-87,0987980033864i</v>
      </c>
      <c r="X545" s="4">
        <f t="shared" si="495"/>
        <v>87.1045384215697</v>
      </c>
      <c r="Y545" s="4">
        <f t="shared" si="496"/>
        <v>-1.55931561653291</v>
      </c>
      <c r="Z545" t="str">
        <f t="shared" si="483"/>
        <v>-27,3050490165336+149,303909698387i</v>
      </c>
      <c r="AA545" s="4">
        <f t="shared" si="497"/>
        <v>151.780180369571</v>
      </c>
      <c r="AB545" s="4">
        <f t="shared" si="498"/>
        <v>1.75167974259524</v>
      </c>
      <c r="AC545" s="67" t="str">
        <f t="shared" si="499"/>
        <v>-0,637691975656353+0,112611073025959i</v>
      </c>
      <c r="AD545" s="68">
        <f t="shared" si="500"/>
        <v>-3.77441673886213</v>
      </c>
      <c r="AE545" s="31">
        <f t="shared" si="501"/>
        <v>169.985293944663</v>
      </c>
      <c r="AF545" s="32" t="str">
        <f t="shared" si="502"/>
        <v>236,914774604583</v>
      </c>
      <c r="AG545" s="32" t="str">
        <f t="shared" si="484"/>
        <v>1+3856,69223072253i</v>
      </c>
      <c r="AH545" s="32">
        <f t="shared" si="503"/>
        <v>3856.6923603673</v>
      </c>
      <c r="AI545" s="32">
        <f t="shared" si="504"/>
        <v>1.57053703724889</v>
      </c>
      <c r="AJ545" s="32" t="str">
        <f t="shared" si="485"/>
        <v>1+183,453468272207i</v>
      </c>
      <c r="AK545" s="32">
        <f t="shared" si="505"/>
        <v>183.456193738728</v>
      </c>
      <c r="AL545" s="32">
        <f t="shared" si="506"/>
        <v>1.56534540724988</v>
      </c>
      <c r="AM545" s="32" t="str">
        <f t="shared" si="486"/>
        <v>1-8,72054476540725i</v>
      </c>
      <c r="AN545" s="32">
        <f t="shared" si="507"/>
        <v>8.77769337613657</v>
      </c>
      <c r="AO545" s="32">
        <f t="shared" si="508"/>
        <v>-1.45662329226535</v>
      </c>
      <c r="AP545" s="30" t="str">
        <f t="shared" si="509"/>
        <v>10,7592577194263-98,3344662395093i</v>
      </c>
      <c r="AQ545" s="32">
        <f t="shared" si="510"/>
        <v>39.9057986473652</v>
      </c>
      <c r="AR545" s="31">
        <f t="shared" si="511"/>
        <v>-83.7558254749925</v>
      </c>
      <c r="AS545" t="str">
        <f t="shared" si="487"/>
        <v>-0,000272527472527473</v>
      </c>
      <c r="AT545" t="str">
        <f t="shared" si="488"/>
        <v>2,62895371943653i</v>
      </c>
      <c r="AU545">
        <f t="shared" si="512"/>
        <v>2.62895371943653</v>
      </c>
      <c r="AV545">
        <f t="shared" si="513"/>
        <v>1.5707963267949</v>
      </c>
      <c r="AW545" t="str">
        <f t="shared" si="489"/>
        <v>1+134,597608456302i</v>
      </c>
      <c r="AX545">
        <f t="shared" si="514"/>
        <v>134.601323181297</v>
      </c>
      <c r="AY545">
        <f t="shared" si="515"/>
        <v>1.56336691097792</v>
      </c>
      <c r="AZ545" t="str">
        <f t="shared" si="490"/>
        <v>1+6434,91119577256i</v>
      </c>
      <c r="BA545">
        <f t="shared" si="516"/>
        <v>6434.91127347371</v>
      </c>
      <c r="BB545">
        <f t="shared" si="517"/>
        <v>1.57064092449617</v>
      </c>
      <c r="BC545" s="30" t="str">
        <f t="shared" si="518"/>
        <v>-0,0000360488035859132+0,00495574660360769i</v>
      </c>
      <c r="BD545" s="32">
        <f t="shared" si="519"/>
        <v>-46.0975883672329</v>
      </c>
      <c r="BE545" s="31">
        <f t="shared" si="520"/>
        <v>90.4167702747166</v>
      </c>
      <c r="BF545" s="30" t="str">
        <f t="shared" si="521"/>
        <v>-0,000535083909898265-0,00316429933695996i</v>
      </c>
      <c r="BG545" s="68">
        <f t="shared" si="522"/>
        <v>-49.872005106095</v>
      </c>
      <c r="BH545" s="31">
        <f t="shared" si="523"/>
        <v>-99.5979357806203</v>
      </c>
      <c r="BI545" s="30" t="str">
        <f t="shared" si="476"/>
        <v>0,486932838715765+0,0568649947595804i</v>
      </c>
      <c r="BJ545" s="68">
        <f t="shared" si="524"/>
        <v>-6.19178971986772</v>
      </c>
      <c r="BK545" s="31">
        <f t="shared" si="477"/>
        <v>6.66094479972417</v>
      </c>
      <c r="BL545" s="32">
        <f t="shared" si="525"/>
        <v>-49.872005106095</v>
      </c>
      <c r="BM545" s="31">
        <f t="shared" si="526"/>
        <v>-99.5979357806203</v>
      </c>
      <c r="BO545">
        <f t="shared" si="527"/>
        <v>0</v>
      </c>
      <c r="BP545">
        <f t="shared" si="528"/>
        <v>0</v>
      </c>
    </row>
    <row r="546" spans="14:68">
      <c r="N546" s="7">
        <v>28</v>
      </c>
      <c r="O546" s="18">
        <f t="shared" si="478"/>
        <v>1905460.71796325</v>
      </c>
      <c r="P546" s="86" t="str">
        <f t="shared" si="479"/>
        <v>96,0576923076923</v>
      </c>
      <c r="Q546" s="4" t="str">
        <f t="shared" si="480"/>
        <v>1+15981,2624180298i</v>
      </c>
      <c r="R546" s="4">
        <f t="shared" si="491"/>
        <v>15981.2624493164</v>
      </c>
      <c r="S546" s="4">
        <f t="shared" si="492"/>
        <v>1.57073375351548</v>
      </c>
      <c r="T546" s="4" t="str">
        <f t="shared" si="481"/>
        <v>1+187,726648492549i</v>
      </c>
      <c r="U546" s="4">
        <f t="shared" si="493"/>
        <v>187.729311920768</v>
      </c>
      <c r="V546" s="4">
        <f t="shared" si="494"/>
        <v>1.56546948295259</v>
      </c>
      <c r="W546" t="str">
        <f t="shared" si="482"/>
        <v>1-89,1275896329422i</v>
      </c>
      <c r="X546" s="4">
        <f t="shared" si="495"/>
        <v>89.1331993915743</v>
      </c>
      <c r="Y546" s="4">
        <f t="shared" si="496"/>
        <v>-1.55957692721888</v>
      </c>
      <c r="Z546" t="str">
        <f t="shared" si="483"/>
        <v>-28,6390248791925+152,781644514477i</v>
      </c>
      <c r="AA546" s="4">
        <f t="shared" si="497"/>
        <v>155.442673183972</v>
      </c>
      <c r="AB546" s="4">
        <f t="shared" si="498"/>
        <v>1.75609664228133</v>
      </c>
      <c r="AC546" s="67" t="str">
        <f t="shared" si="499"/>
        <v>-0,636649132012191+0,115420103180763i</v>
      </c>
      <c r="AD546" s="68">
        <f t="shared" si="500"/>
        <v>-3.78155214287229</v>
      </c>
      <c r="AE546" s="31">
        <f t="shared" si="501"/>
        <v>169.724277739092</v>
      </c>
      <c r="AF546" s="32" t="str">
        <f t="shared" si="502"/>
        <v>236,914774604583</v>
      </c>
      <c r="AG546" s="32" t="str">
        <f t="shared" si="484"/>
        <v>1+3946,52613308199i</v>
      </c>
      <c r="AH546" s="32">
        <f t="shared" si="503"/>
        <v>3946.52625977569</v>
      </c>
      <c r="AI546" s="32">
        <f t="shared" si="504"/>
        <v>1.57054293939928</v>
      </c>
      <c r="AJ546" s="32" t="str">
        <f t="shared" si="485"/>
        <v>1+187,726648492549i</v>
      </c>
      <c r="AK546" s="32">
        <f t="shared" si="505"/>
        <v>187.729311920768</v>
      </c>
      <c r="AL546" s="32">
        <f t="shared" si="506"/>
        <v>1.56546948295259</v>
      </c>
      <c r="AM546" s="32" t="str">
        <f t="shared" si="486"/>
        <v>1-8,92367234731184i</v>
      </c>
      <c r="AN546" s="32">
        <f t="shared" si="507"/>
        <v>8.97952828171826</v>
      </c>
      <c r="AO546" s="32">
        <f t="shared" si="508"/>
        <v>-1.45920041706839</v>
      </c>
      <c r="AP546" s="30" t="str">
        <f t="shared" si="509"/>
        <v>10,7592570351031-100,622269503234i</v>
      </c>
      <c r="AQ546" s="32">
        <f t="shared" si="510"/>
        <v>40.1032551869521</v>
      </c>
      <c r="AR546" s="31">
        <f t="shared" si="511"/>
        <v>-83.8967130036872</v>
      </c>
      <c r="AS546" t="str">
        <f t="shared" si="487"/>
        <v>-0,000272527472527473</v>
      </c>
      <c r="AT546" t="str">
        <f t="shared" si="488"/>
        <v>2,69018991812982i</v>
      </c>
      <c r="AU546">
        <f t="shared" si="512"/>
        <v>2.69018991812982</v>
      </c>
      <c r="AV546">
        <f t="shared" si="513"/>
        <v>1.5707963267949</v>
      </c>
      <c r="AW546" t="str">
        <f t="shared" si="489"/>
        <v>1+137,732789511083i</v>
      </c>
      <c r="AX546">
        <f t="shared" si="514"/>
        <v>137.736419680868</v>
      </c>
      <c r="AY546">
        <f t="shared" si="515"/>
        <v>1.56353601911654</v>
      </c>
      <c r="AZ546" t="str">
        <f t="shared" si="490"/>
        <v>1+6584,79953258302i</v>
      </c>
      <c r="BA546">
        <f t="shared" si="516"/>
        <v>6584.79960851547</v>
      </c>
      <c r="BB546">
        <f t="shared" si="517"/>
        <v>1.5706444618843</v>
      </c>
      <c r="BC546" s="30" t="str">
        <f t="shared" si="518"/>
        <v>-0,0000344264256813891+0,00484295181784049i</v>
      </c>
      <c r="BD546" s="32">
        <f t="shared" si="519"/>
        <v>-46.2975775832251</v>
      </c>
      <c r="BE546" s="31">
        <f t="shared" si="520"/>
        <v>90.4072837695031</v>
      </c>
      <c r="BF546" s="30" t="str">
        <f t="shared" si="521"/>
        <v>-0,000537056444486274-0,0030872345728093i</v>
      </c>
      <c r="BG546" s="68">
        <f t="shared" si="522"/>
        <v>-50.0791297260974</v>
      </c>
      <c r="BH546" s="31">
        <f t="shared" si="523"/>
        <v>-99.8684384914046</v>
      </c>
      <c r="BI546" s="30" t="str">
        <f t="shared" si="476"/>
        <v>0,486938400243217+0,0555706284997114i</v>
      </c>
      <c r="BJ546" s="68">
        <f t="shared" si="524"/>
        <v>-6.19432239627299</v>
      </c>
      <c r="BK546" s="31">
        <f t="shared" si="477"/>
        <v>6.51057076581589</v>
      </c>
      <c r="BL546" s="32">
        <f t="shared" si="525"/>
        <v>-50.0791297260974</v>
      </c>
      <c r="BM546" s="31">
        <f t="shared" si="526"/>
        <v>-99.8684384914046</v>
      </c>
      <c r="BO546">
        <f t="shared" si="527"/>
        <v>0</v>
      </c>
      <c r="BP546">
        <f t="shared" si="528"/>
        <v>0</v>
      </c>
    </row>
    <row r="547" spans="14:68">
      <c r="N547" s="7">
        <v>29</v>
      </c>
      <c r="O547" s="18">
        <f t="shared" si="478"/>
        <v>1949844.59975805</v>
      </c>
      <c r="P547" s="86" t="str">
        <f t="shared" si="479"/>
        <v>96,0576923076923</v>
      </c>
      <c r="Q547" s="4" t="str">
        <f t="shared" si="480"/>
        <v>1+16353,5138401696i</v>
      </c>
      <c r="R547" s="4">
        <f t="shared" si="491"/>
        <v>16353.5138707441</v>
      </c>
      <c r="S547" s="4">
        <f t="shared" si="492"/>
        <v>1.57073517785721</v>
      </c>
      <c r="T547" s="4" t="str">
        <f t="shared" si="481"/>
        <v>1+192,099363866777i</v>
      </c>
      <c r="U547" s="4">
        <f t="shared" si="493"/>
        <v>192.101966668799</v>
      </c>
      <c r="V547" s="4">
        <f t="shared" si="494"/>
        <v>1.56559073450597</v>
      </c>
      <c r="W547" t="str">
        <f t="shared" si="482"/>
        <v>1-91,203637890264i</v>
      </c>
      <c r="X547" s="4">
        <f t="shared" si="495"/>
        <v>91.2091199629642</v>
      </c>
      <c r="Y547" s="4">
        <f t="shared" si="496"/>
        <v>-1.55983229122806</v>
      </c>
      <c r="Z547" t="str">
        <f t="shared" si="483"/>
        <v>-30,0358690873928+156,340386180793i</v>
      </c>
      <c r="AA547" s="4">
        <f t="shared" si="497"/>
        <v>159.199465397954</v>
      </c>
      <c r="AB547" s="4">
        <f t="shared" si="498"/>
        <v>1.76060209294384</v>
      </c>
      <c r="AC547" s="67" t="str">
        <f t="shared" si="499"/>
        <v>-0,635560730242028+0,118271946245871i</v>
      </c>
      <c r="AD547" s="68">
        <f t="shared" si="500"/>
        <v>-3.78900926547864</v>
      </c>
      <c r="AE547" s="31">
        <f t="shared" si="501"/>
        <v>169.458368744859</v>
      </c>
      <c r="AF547" s="32" t="str">
        <f t="shared" si="502"/>
        <v>236,914774604583</v>
      </c>
      <c r="AG547" s="32" t="str">
        <f t="shared" si="484"/>
        <v>1+4038,45253583564i</v>
      </c>
      <c r="AH547" s="32">
        <f t="shared" si="503"/>
        <v>4038.45265964544</v>
      </c>
      <c r="AI547" s="32">
        <f t="shared" si="504"/>
        <v>1.57054870720034</v>
      </c>
      <c r="AJ547" s="32" t="str">
        <f t="shared" si="485"/>
        <v>1+192,099363866777i</v>
      </c>
      <c r="AK547" s="32">
        <f t="shared" si="505"/>
        <v>192.101966668799</v>
      </c>
      <c r="AL547" s="32">
        <f t="shared" si="506"/>
        <v>1.56559073450597</v>
      </c>
      <c r="AM547" s="32" t="str">
        <f t="shared" si="486"/>
        <v>1-9,1315313784137i</v>
      </c>
      <c r="AN547" s="32">
        <f t="shared" si="507"/>
        <v>9.18612351946968</v>
      </c>
      <c r="AO547" s="32">
        <f t="shared" si="508"/>
        <v>-1.46172031850878</v>
      </c>
      <c r="AP547" s="30" t="str">
        <f t="shared" si="509"/>
        <v>10,7592563815796-102,963424026127i</v>
      </c>
      <c r="AQ547" s="32">
        <f t="shared" si="510"/>
        <v>40.3008248161199</v>
      </c>
      <c r="AR547" s="31">
        <f t="shared" si="511"/>
        <v>-84.0344759894001</v>
      </c>
      <c r="AS547" t="str">
        <f t="shared" si="487"/>
        <v>-0,000272527472527473</v>
      </c>
      <c r="AT547" t="str">
        <f t="shared" si="488"/>
        <v>2,75285249112658i</v>
      </c>
      <c r="AU547">
        <f t="shared" si="512"/>
        <v>2.75285249112658</v>
      </c>
      <c r="AV547">
        <f t="shared" si="513"/>
        <v>1.5707963267949</v>
      </c>
      <c r="AW547" t="str">
        <f t="shared" si="489"/>
        <v>1+140,94099831397i</v>
      </c>
      <c r="AX547">
        <f t="shared" si="514"/>
        <v>140.944545853107</v>
      </c>
      <c r="AY547">
        <f t="shared" si="515"/>
        <v>1.56370127828522</v>
      </c>
      <c r="AZ547" t="str">
        <f t="shared" si="490"/>
        <v>1+6738,17921726575i</v>
      </c>
      <c r="BA547">
        <f t="shared" si="516"/>
        <v>6738.17929146977</v>
      </c>
      <c r="BB547">
        <f t="shared" si="517"/>
        <v>1.57064791875165</v>
      </c>
      <c r="BC547" s="30" t="str">
        <f t="shared" si="518"/>
        <v>-0,0000328770592862227+0,00473272376870354i</v>
      </c>
      <c r="BD547" s="32">
        <f t="shared" si="519"/>
        <v>-46.4975672845526</v>
      </c>
      <c r="BE547" s="31">
        <f t="shared" si="520"/>
        <v>90.3980131805211</v>
      </c>
      <c r="BF547" s="30" t="str">
        <f t="shared" si="521"/>
        <v>-0,000538853083360499-0,00301182180825965i</v>
      </c>
      <c r="BG547" s="68">
        <f t="shared" si="522"/>
        <v>-50.2865765500313</v>
      </c>
      <c r="BH547" s="31">
        <f t="shared" si="523"/>
        <v>-100.14361807462</v>
      </c>
      <c r="BI547" s="30" t="str">
        <f t="shared" si="476"/>
        <v>0,48694371148562+0,0543057230066965i</v>
      </c>
      <c r="BJ547" s="68">
        <f t="shared" si="524"/>
        <v>-6.1967424684327</v>
      </c>
      <c r="BK547" s="31">
        <f t="shared" si="477"/>
        <v>6.36353719112106</v>
      </c>
      <c r="BL547" s="32">
        <f t="shared" si="525"/>
        <v>-50.2865765500313</v>
      </c>
      <c r="BM547" s="31">
        <f t="shared" si="526"/>
        <v>-100.14361807462</v>
      </c>
      <c r="BO547">
        <f t="shared" si="527"/>
        <v>0</v>
      </c>
      <c r="BP547">
        <f t="shared" si="528"/>
        <v>0</v>
      </c>
    </row>
    <row r="548" spans="14:68">
      <c r="N548" s="7">
        <v>30</v>
      </c>
      <c r="O548" s="18">
        <f t="shared" si="478"/>
        <v>1995262.31496888</v>
      </c>
      <c r="P548" s="86" t="str">
        <f t="shared" si="479"/>
        <v>96,0576923076923</v>
      </c>
      <c r="Q548" s="4" t="str">
        <f t="shared" si="480"/>
        <v>1+16734,4361118119i</v>
      </c>
      <c r="R548" s="4">
        <f t="shared" si="491"/>
        <v>16734.4361416904</v>
      </c>
      <c r="S548" s="4">
        <f t="shared" si="492"/>
        <v>1.57073656977696</v>
      </c>
      <c r="T548" s="4" t="str">
        <f t="shared" si="481"/>
        <v>1+196,573932866464i</v>
      </c>
      <c r="U548" s="4">
        <f t="shared" si="493"/>
        <v>196.576476422254</v>
      </c>
      <c r="V548" s="4">
        <f t="shared" si="494"/>
        <v>1.56570922618493</v>
      </c>
      <c r="W548" t="str">
        <f t="shared" si="482"/>
        <v>1-93,3280435236187i</v>
      </c>
      <c r="X548" s="4">
        <f t="shared" si="495"/>
        <v>93.3334008163555</v>
      </c>
      <c r="Y548" s="4">
        <f t="shared" si="496"/>
        <v>-1.56008184382452</v>
      </c>
      <c r="Z548" t="str">
        <f t="shared" si="483"/>
        <v>-31,4985445349795+159,982021589273i</v>
      </c>
      <c r="AA548" s="4">
        <f t="shared" si="497"/>
        <v>163.053382484427</v>
      </c>
      <c r="AB548" s="4">
        <f t="shared" si="498"/>
        <v>1.76519782173029</v>
      </c>
      <c r="AC548" s="67" t="str">
        <f t="shared" si="499"/>
        <v>-0,634424958189121+0,121166900398659i</v>
      </c>
      <c r="AD548" s="68">
        <f t="shared" si="500"/>
        <v>-3.7968022074875</v>
      </c>
      <c r="AE548" s="31">
        <f t="shared" si="501"/>
        <v>169.18746389305</v>
      </c>
      <c r="AF548" s="32" t="str">
        <f t="shared" si="502"/>
        <v>236,914774604583</v>
      </c>
      <c r="AG548" s="32" t="str">
        <f t="shared" si="484"/>
        <v>1+4132,52017957906i</v>
      </c>
      <c r="AH548" s="32">
        <f t="shared" si="503"/>
        <v>4132.5203005706</v>
      </c>
      <c r="AI548" s="32">
        <f t="shared" si="504"/>
        <v>1.57055434371023</v>
      </c>
      <c r="AJ548" s="32" t="str">
        <f t="shared" si="485"/>
        <v>1+196,573932866464i</v>
      </c>
      <c r="AK548" s="32">
        <f t="shared" si="505"/>
        <v>196.576476422254</v>
      </c>
      <c r="AL548" s="32">
        <f t="shared" si="506"/>
        <v>1.56570922618493</v>
      </c>
      <c r="AM548" s="32" t="str">
        <f t="shared" si="486"/>
        <v>1-9,34423206832257i</v>
      </c>
      <c r="AN548" s="32">
        <f t="shared" si="507"/>
        <v>9.39758867724417</v>
      </c>
      <c r="AO548" s="32">
        <f t="shared" si="508"/>
        <v>-1.4641842045931</v>
      </c>
      <c r="AP548" s="30" t="str">
        <f t="shared" si="509"/>
        <v>10,7592557574694-105,359171119306i</v>
      </c>
      <c r="AQ548" s="32">
        <f t="shared" si="510"/>
        <v>40.4985025654512</v>
      </c>
      <c r="AR548" s="31">
        <f t="shared" si="511"/>
        <v>-84.1691801383489</v>
      </c>
      <c r="AS548" t="str">
        <f t="shared" si="487"/>
        <v>-0,000272527472527473</v>
      </c>
      <c r="AT548" t="str">
        <f t="shared" si="488"/>
        <v>2,81697466295244i</v>
      </c>
      <c r="AU548">
        <f t="shared" si="512"/>
        <v>2.81697466295244</v>
      </c>
      <c r="AV548">
        <f t="shared" si="513"/>
        <v>1.5707963267949</v>
      </c>
      <c r="AW548" t="str">
        <f t="shared" si="489"/>
        <v>1+144,223935899739i</v>
      </c>
      <c r="AX548">
        <f t="shared" si="514"/>
        <v>144.22740268899</v>
      </c>
      <c r="AY548">
        <f t="shared" si="515"/>
        <v>1.56386277607045</v>
      </c>
      <c r="AZ548" t="str">
        <f t="shared" si="490"/>
        <v>1+6895,13157375987i</v>
      </c>
      <c r="BA548">
        <f t="shared" si="516"/>
        <v>6895.1316462748</v>
      </c>
      <c r="BB548">
        <f t="shared" si="517"/>
        <v>1.5706512969311</v>
      </c>
      <c r="BC548" s="30" t="str">
        <f t="shared" si="518"/>
        <v>-0,0000313974190032226+0,00462500408260474i</v>
      </c>
      <c r="BD548" s="32">
        <f t="shared" si="519"/>
        <v>-46.6975574493739</v>
      </c>
      <c r="BE548" s="31">
        <f t="shared" si="520"/>
        <v>90.3889535944518</v>
      </c>
      <c r="BF548" s="30" t="str">
        <f t="shared" si="521"/>
        <v>-0,000540478102781994-0,00293802234967216i</v>
      </c>
      <c r="BG548" s="68">
        <f t="shared" si="522"/>
        <v>-50.4943596568614</v>
      </c>
      <c r="BH548" s="31">
        <f t="shared" si="523"/>
        <v>-100.423582512498</v>
      </c>
      <c r="BI548" s="30" t="str">
        <f t="shared" si="476"/>
        <v>0,486948783705462+0,0530696078455496i</v>
      </c>
      <c r="BJ548" s="68">
        <f t="shared" si="524"/>
        <v>-6.19905488392269</v>
      </c>
      <c r="BK548" s="31">
        <f t="shared" si="477"/>
        <v>6.21977345610296</v>
      </c>
      <c r="BL548" s="32">
        <f t="shared" si="525"/>
        <v>-50.4943596568614</v>
      </c>
      <c r="BM548" s="31">
        <f t="shared" si="526"/>
        <v>-100.423582512498</v>
      </c>
      <c r="BO548">
        <f t="shared" si="527"/>
        <v>0</v>
      </c>
      <c r="BP548">
        <f t="shared" si="528"/>
        <v>0</v>
      </c>
    </row>
    <row r="549" spans="14:68">
      <c r="N549" s="7">
        <v>31</v>
      </c>
      <c r="O549" s="18">
        <f t="shared" si="478"/>
        <v>2041737.94466953</v>
      </c>
      <c r="P549" s="86" t="str">
        <f t="shared" si="479"/>
        <v>96,0576923076923</v>
      </c>
      <c r="Q549" s="4" t="str">
        <f t="shared" si="480"/>
        <v>1+17124,2312029871i</v>
      </c>
      <c r="R549" s="4">
        <f t="shared" si="491"/>
        <v>17124.2312321855</v>
      </c>
      <c r="S549" s="4">
        <f t="shared" si="492"/>
        <v>1.57073793001276</v>
      </c>
      <c r="T549" s="4" t="str">
        <f t="shared" si="481"/>
        <v>1+201,152727967319i</v>
      </c>
      <c r="U549" s="4">
        <f t="shared" si="493"/>
        <v>201.155213625435</v>
      </c>
      <c r="V549" s="4">
        <f t="shared" si="494"/>
        <v>1.56582502080203</v>
      </c>
      <c r="W549" t="str">
        <f t="shared" si="482"/>
        <v>1-95,5019329209919i</v>
      </c>
      <c r="X549" s="4">
        <f t="shared" si="495"/>
        <v>95.5071682736204</v>
      </c>
      <c r="Y549" s="4">
        <f t="shared" si="496"/>
        <v>-1.56032571719996</v>
      </c>
      <c r="Z549" t="str">
        <f t="shared" si="483"/>
        <v>-33,0301537526804+163,70848158321i</v>
      </c>
      <c r="AA549" s="4">
        <f t="shared" si="497"/>
        <v>167.007359116914</v>
      </c>
      <c r="AB549" s="4">
        <f t="shared" si="498"/>
        <v>1.76988556005093</v>
      </c>
      <c r="AC549" s="67" t="str">
        <f t="shared" si="499"/>
        <v>-0,633239947315648+0,124105211390964i</v>
      </c>
      <c r="AD549" s="68">
        <f t="shared" si="500"/>
        <v>-3.80494562514588</v>
      </c>
      <c r="AE549" s="31">
        <f t="shared" si="501"/>
        <v>168.911459963747</v>
      </c>
      <c r="AF549" s="32" t="str">
        <f t="shared" si="502"/>
        <v>236,914774604583</v>
      </c>
      <c r="AG549" s="32" t="str">
        <f t="shared" si="484"/>
        <v>1+4228,77894022204i</v>
      </c>
      <c r="AH549" s="32">
        <f t="shared" si="503"/>
        <v>4228.77905845948</v>
      </c>
      <c r="AI549" s="32">
        <f t="shared" si="504"/>
        <v>1.57055985191752</v>
      </c>
      <c r="AJ549" s="32" t="str">
        <f t="shared" si="485"/>
        <v>1+201,152727967319i</v>
      </c>
      <c r="AK549" s="32">
        <f t="shared" si="505"/>
        <v>201.155213625435</v>
      </c>
      <c r="AL549" s="32">
        <f t="shared" si="506"/>
        <v>1.56582502080203</v>
      </c>
      <c r="AM549" s="32" t="str">
        <f t="shared" si="486"/>
        <v>1-9,56188719375955i</v>
      </c>
      <c r="AN549" s="32">
        <f t="shared" si="507"/>
        <v>9.61403592182715</v>
      </c>
      <c r="AO549" s="32">
        <f t="shared" si="508"/>
        <v>-1.46659326198048</v>
      </c>
      <c r="AP549" s="30" t="str">
        <f t="shared" si="509"/>
        <v>10,7592551614488-107,810781039592i</v>
      </c>
      <c r="AQ549" s="32">
        <f t="shared" si="510"/>
        <v>40.696283678771</v>
      </c>
      <c r="AR549" s="31">
        <f t="shared" si="511"/>
        <v>-84.3008900134305</v>
      </c>
      <c r="AS549" t="str">
        <f t="shared" si="487"/>
        <v>-0,000272527472527473</v>
      </c>
      <c r="AT549" t="str">
        <f t="shared" si="488"/>
        <v>2,88259043203168i</v>
      </c>
      <c r="AU549">
        <f t="shared" si="512"/>
        <v>2.88259043203168</v>
      </c>
      <c r="AV549">
        <f t="shared" si="513"/>
        <v>1.5707963267949</v>
      </c>
      <c r="AW549" t="str">
        <f t="shared" si="489"/>
        <v>1+147,583342925352i</v>
      </c>
      <c r="AX549">
        <f t="shared" si="514"/>
        <v>147.586730802678</v>
      </c>
      <c r="AY549">
        <f t="shared" si="515"/>
        <v>1.56402059806676</v>
      </c>
      <c r="AZ549" t="str">
        <f t="shared" si="490"/>
        <v>1+7055,73982028222i</v>
      </c>
      <c r="BA549">
        <f t="shared" si="516"/>
        <v>7055.73989114651</v>
      </c>
      <c r="BB549">
        <f t="shared" si="517"/>
        <v>1.5706545982138</v>
      </c>
      <c r="BC549" s="30" t="str">
        <f t="shared" si="518"/>
        <v>-0,0000299843672441842+0,00451973571119583i</v>
      </c>
      <c r="BD549" s="32">
        <f t="shared" si="519"/>
        <v>-46.8975480568304</v>
      </c>
      <c r="BE549" s="31">
        <f t="shared" si="520"/>
        <v>90.3801002097145</v>
      </c>
      <c r="BF549" s="30" t="str">
        <f t="shared" si="521"/>
        <v>-0,000541935456735247-0,00286579841987356i</v>
      </c>
      <c r="BG549" s="68">
        <f t="shared" si="522"/>
        <v>-50.7024936819763</v>
      </c>
      <c r="BH549" s="31">
        <f t="shared" si="523"/>
        <v>-100.708439826538</v>
      </c>
      <c r="BI549" s="30" t="str">
        <f t="shared" si="476"/>
        <v>0,486953627658524+0,0518616278306417i</v>
      </c>
      <c r="BJ549" s="68">
        <f t="shared" si="524"/>
        <v>-6.20126437805941</v>
      </c>
      <c r="BK549" s="31">
        <f t="shared" si="477"/>
        <v>6.07921019628399</v>
      </c>
      <c r="BL549" s="32">
        <f t="shared" si="525"/>
        <v>-50.7024936819763</v>
      </c>
      <c r="BM549" s="31">
        <f t="shared" si="526"/>
        <v>-100.708439826538</v>
      </c>
      <c r="BO549">
        <f t="shared" si="527"/>
        <v>0</v>
      </c>
      <c r="BP549">
        <f t="shared" si="528"/>
        <v>0</v>
      </c>
    </row>
    <row r="550" spans="14:68">
      <c r="N550" s="7">
        <v>32</v>
      </c>
      <c r="O550" s="18">
        <f t="shared" si="478"/>
        <v>2089296.13085404</v>
      </c>
      <c r="P550" s="86" t="str">
        <f t="shared" si="479"/>
        <v>96,0576923076923</v>
      </c>
      <c r="Q550" s="4" t="str">
        <f t="shared" si="480"/>
        <v>1+17523,1057882122i</v>
      </c>
      <c r="R550" s="4">
        <f t="shared" si="491"/>
        <v>17523.105816746</v>
      </c>
      <c r="S550" s="4">
        <f t="shared" si="492"/>
        <v>1.5707392592858</v>
      </c>
      <c r="T550" s="4" t="str">
        <f t="shared" si="481"/>
        <v>1+205,838176907116i</v>
      </c>
      <c r="U550" s="4">
        <f t="shared" si="493"/>
        <v>205.840605985421</v>
      </c>
      <c r="V550" s="4">
        <f t="shared" si="494"/>
        <v>1.56593817974066</v>
      </c>
      <c r="W550" t="str">
        <f t="shared" si="482"/>
        <v>1-97,7264587073183i</v>
      </c>
      <c r="X550" s="4">
        <f t="shared" si="495"/>
        <v>97.7315748950828</v>
      </c>
      <c r="Y550" s="4">
        <f t="shared" si="496"/>
        <v>-1.56056404054315</v>
      </c>
      <c r="Z550" t="str">
        <f t="shared" si="483"/>
        <v>-34,6339454889935+167,521741981023i</v>
      </c>
      <c r="AA550" s="4">
        <f t="shared" si="497"/>
        <v>171.064444629768</v>
      </c>
      <c r="AB550" s="4">
        <f t="shared" si="498"/>
        <v>1.7746670418017</v>
      </c>
      <c r="AC550" s="67" t="str">
        <f t="shared" si="499"/>
        <v>-0,632003772469356+0,12708706857172i</v>
      </c>
      <c r="AD550" s="68">
        <f t="shared" si="500"/>
        <v>-3.81345474732207</v>
      </c>
      <c r="AE550" s="31">
        <f t="shared" si="501"/>
        <v>168.630253685747</v>
      </c>
      <c r="AF550" s="32" t="str">
        <f t="shared" si="502"/>
        <v>236,914774604583</v>
      </c>
      <c r="AG550" s="32" t="str">
        <f t="shared" si="484"/>
        <v>1+4327,27985543367i</v>
      </c>
      <c r="AH550" s="32">
        <f t="shared" si="503"/>
        <v>4327.2799709797</v>
      </c>
      <c r="AI550" s="32">
        <f t="shared" si="504"/>
        <v>1.57056523474271</v>
      </c>
      <c r="AJ550" s="32" t="str">
        <f t="shared" si="485"/>
        <v>1+205,838176907116i</v>
      </c>
      <c r="AK550" s="32">
        <f t="shared" si="505"/>
        <v>205.840605985421</v>
      </c>
      <c r="AL550" s="32">
        <f t="shared" si="506"/>
        <v>1.56593817974066</v>
      </c>
      <c r="AM550" s="32" t="str">
        <f t="shared" si="486"/>
        <v>1-9,78461215835329i</v>
      </c>
      <c r="AN550" s="32">
        <f t="shared" si="507"/>
        <v>9.83558005861348</v>
      </c>
      <c r="AO550" s="32">
        <f t="shared" si="508"/>
        <v>-1.4689486560752</v>
      </c>
      <c r="AP550" s="30" t="str">
        <f t="shared" si="509"/>
        <v>10,7592545922536-110,319553663018i</v>
      </c>
      <c r="AQ550" s="32">
        <f t="shared" si="510"/>
        <v>40.8941636044431</v>
      </c>
      <c r="AR550" s="31">
        <f t="shared" si="511"/>
        <v>-84.4296690377149</v>
      </c>
      <c r="AS550" t="str">
        <f t="shared" si="487"/>
        <v>-0,000272527472527473</v>
      </c>
      <c r="AT550" t="str">
        <f t="shared" si="488"/>
        <v>2,94973458871357i</v>
      </c>
      <c r="AU550">
        <f t="shared" si="512"/>
        <v>2.94973458871357</v>
      </c>
      <c r="AV550">
        <f t="shared" si="513"/>
        <v>1.5707963267949</v>
      </c>
      <c r="AW550" t="str">
        <f t="shared" si="489"/>
        <v>1+151,021000592881i</v>
      </c>
      <c r="AX550">
        <f t="shared" si="514"/>
        <v>151.024311354414</v>
      </c>
      <c r="AY550">
        <f t="shared" si="515"/>
        <v>1.56417482792201</v>
      </c>
      <c r="AZ550" t="str">
        <f t="shared" si="490"/>
        <v>1+7220,08911345111i</v>
      </c>
      <c r="BA550">
        <f t="shared" si="516"/>
        <v>7220.08918270233</v>
      </c>
      <c r="BB550">
        <f t="shared" si="517"/>
        <v>1.57065782435014</v>
      </c>
      <c r="BC550" s="30" t="str">
        <f t="shared" si="518"/>
        <v>-0,0000286349075825121+0,00441686290143994i</v>
      </c>
      <c r="BD550" s="32">
        <f t="shared" si="519"/>
        <v>-47.0975390870021</v>
      </c>
      <c r="BE550" s="31">
        <f t="shared" si="520"/>
        <v>90.3714483339301</v>
      </c>
      <c r="BF550" s="30" t="str">
        <f t="shared" si="521"/>
        <v>-0,000543228788810725-0,00279511314265347i</v>
      </c>
      <c r="BG550" s="68">
        <f t="shared" si="522"/>
        <v>-50.9109938343241</v>
      </c>
      <c r="BH550" s="31">
        <f t="shared" si="523"/>
        <v>-100.998297980323</v>
      </c>
      <c r="BI550" s="30" t="str">
        <f t="shared" si="476"/>
        <v>0,486958253616691+0,0506811426793567i</v>
      </c>
      <c r="BJ550" s="68">
        <f t="shared" si="524"/>
        <v>-6.20337548255894</v>
      </c>
      <c r="BK550" s="31">
        <f t="shared" si="477"/>
        <v>5.94177929621513</v>
      </c>
      <c r="BL550" s="32">
        <f t="shared" si="525"/>
        <v>-50.9109938343241</v>
      </c>
      <c r="BM550" s="31">
        <f t="shared" si="526"/>
        <v>-100.998297980323</v>
      </c>
      <c r="BO550">
        <f t="shared" si="527"/>
        <v>0</v>
      </c>
      <c r="BP550">
        <f t="shared" si="528"/>
        <v>0</v>
      </c>
    </row>
    <row r="551" spans="14:68">
      <c r="N551" s="7">
        <v>33</v>
      </c>
      <c r="O551" s="18">
        <f t="shared" si="478"/>
        <v>2137962.08950224</v>
      </c>
      <c r="P551" s="86" t="str">
        <f t="shared" si="479"/>
        <v>96,0576923076923</v>
      </c>
      <c r="Q551" s="4" t="str">
        <f t="shared" si="480"/>
        <v>1+17931,2713560718i</v>
      </c>
      <c r="R551" s="4">
        <f t="shared" si="491"/>
        <v>17931.271383956</v>
      </c>
      <c r="S551" s="4">
        <f t="shared" si="492"/>
        <v>1.5707405583009</v>
      </c>
      <c r="T551" s="4" t="str">
        <f t="shared" si="481"/>
        <v>1+210,632763972897i</v>
      </c>
      <c r="U551" s="4">
        <f t="shared" si="493"/>
        <v>210.635137759259</v>
      </c>
      <c r="V551" s="4">
        <f t="shared" si="494"/>
        <v>1.5660487629876</v>
      </c>
      <c r="W551" t="str">
        <f t="shared" si="482"/>
        <v>1-100,002800355613i</v>
      </c>
      <c r="X551" s="4">
        <f t="shared" si="495"/>
        <v>100.007800090616</v>
      </c>
      <c r="Y551" s="4">
        <f t="shared" si="496"/>
        <v>-1.56079694010795</v>
      </c>
      <c r="Z551" t="str">
        <f t="shared" si="483"/>
        <v>-36,3133216012146+171,423824623845i</v>
      </c>
      <c r="AA551" s="4">
        <f t="shared" si="497"/>
        <v>175.227808792954</v>
      </c>
      <c r="AB551" s="4">
        <f t="shared" si="498"/>
        <v>1.77954400144263</v>
      </c>
      <c r="AC551" s="67" t="str">
        <f t="shared" si="499"/>
        <v>-0,630714451819596+0,130112600720743i</v>
      </c>
      <c r="AD551" s="68">
        <f t="shared" si="500"/>
        <v>-3.82234539272931</v>
      </c>
      <c r="AE551" s="31">
        <f t="shared" si="501"/>
        <v>168.343741844605</v>
      </c>
      <c r="AF551" s="32" t="str">
        <f t="shared" si="502"/>
        <v>236,914774604583</v>
      </c>
      <c r="AG551" s="32" t="str">
        <f t="shared" si="484"/>
        <v>1+4428,07515170294i</v>
      </c>
      <c r="AH551" s="32">
        <f t="shared" si="503"/>
        <v>4428.07526461882</v>
      </c>
      <c r="AI551" s="32">
        <f t="shared" si="504"/>
        <v>1.57057049503985</v>
      </c>
      <c r="AJ551" s="32" t="str">
        <f t="shared" si="485"/>
        <v>1+210,632763972897i</v>
      </c>
      <c r="AK551" s="32">
        <f t="shared" si="505"/>
        <v>210.635137759259</v>
      </c>
      <c r="AL551" s="32">
        <f t="shared" si="506"/>
        <v>1.5660487629876</v>
      </c>
      <c r="AM551" s="32" t="str">
        <f t="shared" si="486"/>
        <v>1-10,012525053828i</v>
      </c>
      <c r="AN551" s="32">
        <f t="shared" si="507"/>
        <v>10.0623385926699</v>
      </c>
      <c r="AO551" s="32">
        <f t="shared" si="508"/>
        <v>-1.47125153114164</v>
      </c>
      <c r="AP551" s="30" t="str">
        <f t="shared" si="509"/>
        <v>10,7592540486763-112,886819174036i</v>
      </c>
      <c r="AQ551" s="32">
        <f t="shared" si="510"/>
        <v>41.0921379869821</v>
      </c>
      <c r="AR551" s="31">
        <f t="shared" si="511"/>
        <v>-84.5555794992588</v>
      </c>
      <c r="AS551" t="str">
        <f t="shared" si="487"/>
        <v>-0,000272527472527473</v>
      </c>
      <c r="AT551" t="str">
        <f t="shared" si="488"/>
        <v>3,01844273371875i</v>
      </c>
      <c r="AU551">
        <f t="shared" si="512"/>
        <v>3.01844273371875</v>
      </c>
      <c r="AV551">
        <f t="shared" si="513"/>
        <v>1.5707963267949</v>
      </c>
      <c r="AW551" t="str">
        <f t="shared" si="489"/>
        <v>1+154,538731593922i</v>
      </c>
      <c r="AX551">
        <f t="shared" si="514"/>
        <v>154.541966994918</v>
      </c>
      <c r="AY551">
        <f t="shared" si="515"/>
        <v>1.56432554738153</v>
      </c>
      <c r="AZ551" t="str">
        <f t="shared" si="490"/>
        <v>1+7388,26659343706i</v>
      </c>
      <c r="BA551">
        <f t="shared" si="516"/>
        <v>7388.26666111193</v>
      </c>
      <c r="BB551">
        <f t="shared" si="517"/>
        <v>1.57066097705064</v>
      </c>
      <c r="BC551" s="30" t="str">
        <f t="shared" si="518"/>
        <v>-0,0000273461784045763+0,00431633116634462i</v>
      </c>
      <c r="BD551" s="32">
        <f t="shared" si="519"/>
        <v>-47.2975305208651</v>
      </c>
      <c r="BE551" s="31">
        <f t="shared" si="520"/>
        <v>90.3629933814422</v>
      </c>
      <c r="BF551" s="30" t="str">
        <f t="shared" si="521"/>
        <v>-0,000544361443703293-0,00272593052784488i</v>
      </c>
      <c r="BG551" s="68">
        <f t="shared" si="522"/>
        <v>-51.1198759135944</v>
      </c>
      <c r="BH551" s="31">
        <f t="shared" si="523"/>
        <v>-101.293264773953</v>
      </c>
      <c r="BI551" s="30" t="str">
        <f t="shared" si="476"/>
        <v>0,486962671389686+0,0495275266735794i</v>
      </c>
      <c r="BJ551" s="68">
        <f t="shared" si="524"/>
        <v>-6.20539253388306</v>
      </c>
      <c r="BK551" s="31">
        <f t="shared" si="477"/>
        <v>5.80741388218338</v>
      </c>
      <c r="BL551" s="32">
        <f t="shared" si="525"/>
        <v>-51.1198759135944</v>
      </c>
      <c r="BM551" s="31">
        <f t="shared" si="526"/>
        <v>-101.293264773953</v>
      </c>
      <c r="BO551">
        <f t="shared" si="527"/>
        <v>0</v>
      </c>
      <c r="BP551">
        <f t="shared" si="528"/>
        <v>0</v>
      </c>
    </row>
    <row r="552" spans="14:68">
      <c r="N552" s="7">
        <v>34</v>
      </c>
      <c r="O552" s="18">
        <f t="shared" si="478"/>
        <v>2187761.62394956</v>
      </c>
      <c r="P552" s="86" t="str">
        <f t="shared" si="479"/>
        <v>96,0576923076923</v>
      </c>
      <c r="Q552" s="4" t="str">
        <f t="shared" si="480"/>
        <v>1+18348,9443213529i</v>
      </c>
      <c r="R552" s="4">
        <f t="shared" si="491"/>
        <v>18348.9443486024</v>
      </c>
      <c r="S552" s="4">
        <f t="shared" si="492"/>
        <v>1.5707418277468</v>
      </c>
      <c r="T552" s="4" t="str">
        <f t="shared" si="481"/>
        <v>1+215,539031318192i</v>
      </c>
      <c r="U552" s="4">
        <f t="shared" si="493"/>
        <v>215.541351071168</v>
      </c>
      <c r="V552" s="4">
        <f t="shared" si="494"/>
        <v>1.56615682916472</v>
      </c>
      <c r="W552" t="str">
        <f t="shared" si="482"/>
        <v>1-102,33216481235i</v>
      </c>
      <c r="X552" s="4">
        <f t="shared" si="495"/>
        <v>102.337050744987</v>
      </c>
      <c r="Y552" s="4">
        <f t="shared" si="496"/>
        <v>-1.56102453927966</v>
      </c>
      <c r="Z552" t="str">
        <f t="shared" si="483"/>
        <v>-38,0718442712361+175,416798447546i</v>
      </c>
      <c r="AA552" s="4">
        <f t="shared" si="497"/>
        <v>179.500747919891</v>
      </c>
      <c r="AB552" s="4">
        <f t="shared" si="498"/>
        <v>1.78451817192506</v>
      </c>
      <c r="AC552" s="67" t="str">
        <f t="shared" si="499"/>
        <v>-0,629369946981599+0,133181871693285i</v>
      </c>
      <c r="AD552" s="68">
        <f t="shared" si="500"/>
        <v>-3.83163398713702</v>
      </c>
      <c r="AE552" s="31">
        <f t="shared" si="501"/>
        <v>168.051821399388</v>
      </c>
      <c r="AF552" s="32" t="str">
        <f t="shared" si="502"/>
        <v>236,914774604583</v>
      </c>
      <c r="AG552" s="32" t="str">
        <f t="shared" si="484"/>
        <v>1+4531,21827203016i</v>
      </c>
      <c r="AH552" s="32">
        <f t="shared" si="503"/>
        <v>4531.21838237576</v>
      </c>
      <c r="AI552" s="32">
        <f t="shared" si="504"/>
        <v>1.57057563559802</v>
      </c>
      <c r="AJ552" s="32" t="str">
        <f t="shared" si="485"/>
        <v>1+215,539031318192i</v>
      </c>
      <c r="AK552" s="32">
        <f t="shared" si="505"/>
        <v>215.541351071168</v>
      </c>
      <c r="AL552" s="32">
        <f t="shared" si="506"/>
        <v>1.56615682916472</v>
      </c>
      <c r="AM552" s="32" t="str">
        <f t="shared" si="486"/>
        <v>1-10,2457467226176i</v>
      </c>
      <c r="AN552" s="32">
        <f t="shared" si="507"/>
        <v>10.2944317912175</v>
      </c>
      <c r="AO552" s="32">
        <f t="shared" si="508"/>
        <v>-1.47350301043964</v>
      </c>
      <c r="AP552" s="30" t="str">
        <f t="shared" si="509"/>
        <v>10,7592535295641-115,513938770801i</v>
      </c>
      <c r="AQ552" s="32">
        <f t="shared" si="510"/>
        <v>41.2902026589735</v>
      </c>
      <c r="AR552" s="31">
        <f t="shared" si="511"/>
        <v>-84.6786825571257</v>
      </c>
      <c r="AS552" t="str">
        <f t="shared" si="487"/>
        <v>-0,000272527472527473</v>
      </c>
      <c r="AT552" t="str">
        <f t="shared" si="488"/>
        <v>3,08875129701516i</v>
      </c>
      <c r="AU552">
        <f t="shared" si="512"/>
        <v>3.08875129701516</v>
      </c>
      <c r="AV552">
        <f t="shared" si="513"/>
        <v>1.5707963267949</v>
      </c>
      <c r="AW552" t="str">
        <f t="shared" si="489"/>
        <v>1+158,138401076017i</v>
      </c>
      <c r="AX552">
        <f t="shared" si="514"/>
        <v>158.141562831784</v>
      </c>
      <c r="AY552">
        <f t="shared" si="515"/>
        <v>1.56447283633138</v>
      </c>
      <c r="AZ552" t="str">
        <f t="shared" si="490"/>
        <v>1+7560,36143016615i</v>
      </c>
      <c r="BA552">
        <f t="shared" si="516"/>
        <v>7560.36149630055</v>
      </c>
      <c r="BB552">
        <f t="shared" si="517"/>
        <v>1.57066405798693</v>
      </c>
      <c r="BC552" s="30" t="str">
        <f t="shared" si="518"/>
        <v>-0,0000261154468463881+0,00421808725634657i</v>
      </c>
      <c r="BD552" s="32">
        <f t="shared" si="519"/>
        <v>-47.4975223402521</v>
      </c>
      <c r="BE552" s="31">
        <f t="shared" si="520"/>
        <v>90.3547308708932</v>
      </c>
      <c r="BF552" s="30" t="str">
        <f t="shared" si="521"/>
        <v>-0,000545336478368717-0,00265821545698171i</v>
      </c>
      <c r="BG552" s="68">
        <f t="shared" si="522"/>
        <v>-51.3291563273891</v>
      </c>
      <c r="BH552" s="31">
        <f t="shared" si="523"/>
        <v>-101.593447729719</v>
      </c>
      <c r="BI552" s="30" t="str">
        <f t="shared" si="476"/>
        <v>0,486966890345856+0,048400168328842i</v>
      </c>
      <c r="BJ552" s="68">
        <f t="shared" si="524"/>
        <v>-6.20731968127855</v>
      </c>
      <c r="BK552" s="31">
        <f t="shared" si="477"/>
        <v>5.67604831376753</v>
      </c>
      <c r="BL552" s="32">
        <f t="shared" si="525"/>
        <v>-51.3291563273891</v>
      </c>
      <c r="BM552" s="31">
        <f t="shared" si="526"/>
        <v>-101.593447729719</v>
      </c>
      <c r="BO552">
        <f t="shared" si="527"/>
        <v>0</v>
      </c>
      <c r="BP552">
        <f t="shared" si="528"/>
        <v>0</v>
      </c>
    </row>
    <row r="553" spans="14:68">
      <c r="N553" s="7">
        <v>35</v>
      </c>
      <c r="O553" s="18">
        <f t="shared" si="478"/>
        <v>2238721.13856834</v>
      </c>
      <c r="P553" s="86" t="str">
        <f t="shared" si="479"/>
        <v>96,0576923076923</v>
      </c>
      <c r="Q553" s="4" t="str">
        <f t="shared" si="480"/>
        <v>1+18776,3461397901i</v>
      </c>
      <c r="R553" s="4">
        <f t="shared" si="491"/>
        <v>18776.3461664193</v>
      </c>
      <c r="S553" s="4">
        <f t="shared" si="492"/>
        <v>1.57074306829659</v>
      </c>
      <c r="T553" s="4" t="str">
        <f t="shared" si="481"/>
        <v>1+220,559580310887i</v>
      </c>
      <c r="U553" s="4">
        <f t="shared" si="493"/>
        <v>220.561847260388</v>
      </c>
      <c r="V553" s="4">
        <f t="shared" si="494"/>
        <v>1.56626243556005</v>
      </c>
      <c r="W553" t="str">
        <f t="shared" si="482"/>
        <v>1-104,715787137397i</v>
      </c>
      <c r="X553" s="4">
        <f t="shared" si="495"/>
        <v>104.720561857759</v>
      </c>
      <c r="Y553" s="4">
        <f t="shared" si="496"/>
        <v>-1.56124695864</v>
      </c>
      <c r="Z553" t="str">
        <f t="shared" si="483"/>
        <v>-39,91324356141+179,502780579698i</v>
      </c>
      <c r="AA553" s="4">
        <f t="shared" si="497"/>
        <v>183.886691327664</v>
      </c>
      <c r="AB553" s="4">
        <f t="shared" si="498"/>
        <v>1.78959128246127</v>
      </c>
      <c r="AC553" s="67" t="str">
        <f t="shared" si="499"/>
        <v>-0,627968163348799+0,13629487587608i</v>
      </c>
      <c r="AD553" s="68">
        <f t="shared" si="500"/>
        <v>-3.8413375805107</v>
      </c>
      <c r="AE553" s="31">
        <f t="shared" si="501"/>
        <v>167.754389608505</v>
      </c>
      <c r="AF553" s="32" t="str">
        <f t="shared" si="502"/>
        <v>236,914774604583</v>
      </c>
      <c r="AG553" s="32" t="str">
        <f t="shared" si="484"/>
        <v>1+4636,76390426295i</v>
      </c>
      <c r="AH553" s="32">
        <f t="shared" si="503"/>
        <v>4636.76401209678</v>
      </c>
      <c r="AI553" s="32">
        <f t="shared" si="504"/>
        <v>1.57058065914281</v>
      </c>
      <c r="AJ553" s="32" t="str">
        <f t="shared" si="485"/>
        <v>1+220,559580310887i</v>
      </c>
      <c r="AK553" s="32">
        <f t="shared" si="505"/>
        <v>220.561847260388</v>
      </c>
      <c r="AL553" s="32">
        <f t="shared" si="506"/>
        <v>1.56626243556005</v>
      </c>
      <c r="AM553" s="32" t="str">
        <f t="shared" si="486"/>
        <v>1-10,4844008219381i</v>
      </c>
      <c r="AN553" s="32">
        <f t="shared" si="507"/>
        <v>10.5319827475673</v>
      </c>
      <c r="AO553" s="32">
        <f t="shared" si="508"/>
        <v>-1.47570419637834</v>
      </c>
      <c r="AP553" s="30" t="str">
        <f t="shared" si="509"/>
        <v>10,7592530338158-118,202305386902i</v>
      </c>
      <c r="AQ553" s="32">
        <f t="shared" si="510"/>
        <v>41.4883536332952</v>
      </c>
      <c r="AR553" s="31">
        <f t="shared" si="511"/>
        <v>-84.7990382485099</v>
      </c>
      <c r="AS553" t="str">
        <f t="shared" si="487"/>
        <v>-0,000272527472527473</v>
      </c>
      <c r="AT553" t="str">
        <f t="shared" si="488"/>
        <v>3,1606975571337i</v>
      </c>
      <c r="AU553">
        <f t="shared" si="512"/>
        <v>3.1606975571337</v>
      </c>
      <c r="AV553">
        <f t="shared" si="513"/>
        <v>1.5707963267949</v>
      </c>
      <c r="AW553" t="str">
        <f t="shared" si="489"/>
        <v>1+161,82191763157i</v>
      </c>
      <c r="AX553">
        <f t="shared" si="514"/>
        <v>161.82500741838</v>
      </c>
      <c r="AY553">
        <f t="shared" si="515"/>
        <v>1.56461677284052</v>
      </c>
      <c r="AZ553" t="str">
        <f t="shared" si="490"/>
        <v>1+7736,46487059869i</v>
      </c>
      <c r="BA553">
        <f t="shared" si="516"/>
        <v>7736.46493522769</v>
      </c>
      <c r="BB553">
        <f t="shared" si="517"/>
        <v>1.57066706879255</v>
      </c>
      <c r="BC553" s="30" t="str">
        <f t="shared" si="518"/>
        <v>-0,0000249401030028032+0,00412207913133444i</v>
      </c>
      <c r="BD553" s="32">
        <f t="shared" si="519"/>
        <v>-47.6975145278127</v>
      </c>
      <c r="BE553" s="31">
        <f t="shared" si="520"/>
        <v>90.3466564228563</v>
      </c>
      <c r="BF553" s="30" t="str">
        <f t="shared" si="521"/>
        <v>-0,000546156672880207-0,0025919336695256i</v>
      </c>
      <c r="BG553" s="68">
        <f t="shared" si="522"/>
        <v>-51.5388521083235</v>
      </c>
      <c r="BH553" s="31">
        <f t="shared" si="523"/>
        <v>-101.898953968639</v>
      </c>
      <c r="BI553" s="30" t="str">
        <f t="shared" si="476"/>
        <v>0,486970919432073+0,047298470070957i</v>
      </c>
      <c r="BJ553" s="68">
        <f t="shared" si="524"/>
        <v>-6.20916089451748</v>
      </c>
      <c r="BK553" s="31">
        <f t="shared" si="477"/>
        <v>5.5476181743463</v>
      </c>
      <c r="BL553" s="32">
        <f t="shared" si="525"/>
        <v>-51.5388521083235</v>
      </c>
      <c r="BM553" s="31">
        <f t="shared" si="526"/>
        <v>-101.898953968639</v>
      </c>
      <c r="BO553">
        <f t="shared" si="527"/>
        <v>0</v>
      </c>
      <c r="BP553">
        <f t="shared" si="528"/>
        <v>0</v>
      </c>
    </row>
    <row r="554" spans="14:68">
      <c r="N554" s="7">
        <v>36</v>
      </c>
      <c r="O554" s="18">
        <f t="shared" si="478"/>
        <v>2290867.65276778</v>
      </c>
      <c r="P554" s="86" t="str">
        <f t="shared" si="479"/>
        <v>96,0576923076923</v>
      </c>
      <c r="Q554" s="4" t="str">
        <f t="shared" si="480"/>
        <v>1+19213,7034254851i</v>
      </c>
      <c r="R554" s="4">
        <f t="shared" si="491"/>
        <v>19213.7034515082</v>
      </c>
      <c r="S554" s="4">
        <f t="shared" si="492"/>
        <v>1.57074428060802</v>
      </c>
      <c r="T554" s="4" t="str">
        <f t="shared" si="481"/>
        <v>1+225,697072912516i</v>
      </c>
      <c r="U554" s="4">
        <f t="shared" si="493"/>
        <v>225.699288260459</v>
      </c>
      <c r="V554" s="4">
        <f t="shared" si="494"/>
        <v>1.56636563815804</v>
      </c>
      <c r="W554" t="str">
        <f t="shared" si="482"/>
        <v>1-107,154931158862i</v>
      </c>
      <c r="X554" s="4">
        <f t="shared" si="495"/>
        <v>107.159597198107</v>
      </c>
      <c r="Y554" s="4">
        <f t="shared" si="496"/>
        <v>-1.56146431603059</v>
      </c>
      <c r="Z554" t="str">
        <f t="shared" si="483"/>
        <v>-41,8414253265126+183,683937462116i</v>
      </c>
      <c r="AA554" s="4">
        <f t="shared" si="497"/>
        <v>188.389208170056</v>
      </c>
      <c r="AB554" s="4">
        <f t="shared" si="498"/>
        <v>1.79476505612986</v>
      </c>
      <c r="AC554" s="67" t="str">
        <f t="shared" si="499"/>
        <v>-0,626506950654211+0,139451533456908i</v>
      </c>
      <c r="AD554" s="68">
        <f t="shared" si="500"/>
        <v>-3.85147386401427</v>
      </c>
      <c r="AE554" s="31">
        <f t="shared" si="501"/>
        <v>167.451344164984</v>
      </c>
      <c r="AF554" s="32" t="str">
        <f t="shared" si="502"/>
        <v>236,914774604583</v>
      </c>
      <c r="AG554" s="32" t="str">
        <f t="shared" si="484"/>
        <v>1+4744,76801009266i</v>
      </c>
      <c r="AH554" s="32">
        <f t="shared" si="503"/>
        <v>4744.76811547189</v>
      </c>
      <c r="AI554" s="32">
        <f t="shared" si="504"/>
        <v>1.57058556833778</v>
      </c>
      <c r="AJ554" s="32" t="str">
        <f t="shared" si="485"/>
        <v>1+225,697072912516i</v>
      </c>
      <c r="AK554" s="32">
        <f t="shared" si="505"/>
        <v>225.699288260459</v>
      </c>
      <c r="AL554" s="32">
        <f t="shared" si="506"/>
        <v>1.56636563815804</v>
      </c>
      <c r="AM554" s="32" t="str">
        <f t="shared" si="486"/>
        <v>1-10,7286138893519i</v>
      </c>
      <c r="AN554" s="32">
        <f t="shared" si="507"/>
        <v>10.775117446543</v>
      </c>
      <c r="AO554" s="32">
        <f t="shared" si="508"/>
        <v>-1.47785617068687</v>
      </c>
      <c r="AP554" s="30" t="str">
        <f t="shared" si="509"/>
        <v>10,7592525603798-120,953344429901i</v>
      </c>
      <c r="AQ554" s="32">
        <f t="shared" si="510"/>
        <v>41.6865870956283</v>
      </c>
      <c r="AR554" s="31">
        <f t="shared" si="511"/>
        <v>-84.9167054968613</v>
      </c>
      <c r="AS554" t="str">
        <f t="shared" si="487"/>
        <v>-0,000272527472527473</v>
      </c>
      <c r="AT554" t="str">
        <f t="shared" si="488"/>
        <v>3,23431966093382i</v>
      </c>
      <c r="AU554">
        <f t="shared" si="512"/>
        <v>3.23431966093382</v>
      </c>
      <c r="AV554">
        <f t="shared" si="513"/>
        <v>1.5707963267949</v>
      </c>
      <c r="AW554" t="str">
        <f t="shared" si="489"/>
        <v>1+165,59123430982i</v>
      </c>
      <c r="AX554">
        <f t="shared" si="514"/>
        <v>165.594253765793</v>
      </c>
      <c r="AY554">
        <f t="shared" si="515"/>
        <v>1.56475743320213</v>
      </c>
      <c r="AZ554" t="str">
        <f t="shared" si="490"/>
        <v>1+7916,67028710992i</v>
      </c>
      <c r="BA554">
        <f t="shared" si="516"/>
        <v>7916.67035026778</v>
      </c>
      <c r="BB554">
        <f t="shared" si="517"/>
        <v>1.57067001106386</v>
      </c>
      <c r="BC554" s="30" t="str">
        <f t="shared" si="518"/>
        <v>-0,0000238176543970035+0,00402825593329529i</v>
      </c>
      <c r="BD554" s="32">
        <f t="shared" si="519"/>
        <v>-47.8975070669781</v>
      </c>
      <c r="BE554" s="31">
        <f t="shared" si="520"/>
        <v>90.3387657575197</v>
      </c>
      <c r="BF554" s="30" t="str">
        <f t="shared" si="521"/>
        <v>-0,000546824541026914-0,00252705174965257i</v>
      </c>
      <c r="BG554" s="68">
        <f t="shared" si="522"/>
        <v>-51.7489809309924</v>
      </c>
      <c r="BH554" s="31">
        <f t="shared" si="523"/>
        <v>-102.209890077497</v>
      </c>
      <c r="BI554" s="30" t="str">
        <f t="shared" si="476"/>
        <v>0,486974767192604+0,0462218479199656i</v>
      </c>
      <c r="BJ554" s="68">
        <f t="shared" si="524"/>
        <v>-6.21091997134984</v>
      </c>
      <c r="BK554" s="31">
        <f t="shared" si="477"/>
        <v>5.42206026065835</v>
      </c>
      <c r="BL554" s="32">
        <f t="shared" si="525"/>
        <v>-51.7489809309924</v>
      </c>
      <c r="BM554" s="31">
        <f t="shared" si="526"/>
        <v>-102.209890077497</v>
      </c>
      <c r="BO554">
        <f t="shared" si="527"/>
        <v>0</v>
      </c>
      <c r="BP554">
        <f t="shared" si="528"/>
        <v>0</v>
      </c>
    </row>
    <row r="555" spans="14:68">
      <c r="N555" s="7">
        <v>37</v>
      </c>
      <c r="O555" s="18">
        <f t="shared" si="478"/>
        <v>2344228.81531993</v>
      </c>
      <c r="P555" s="86" t="str">
        <f t="shared" si="479"/>
        <v>96,0576923076923</v>
      </c>
      <c r="Q555" s="4" t="str">
        <f t="shared" si="480"/>
        <v>1+19661,2480710597i</v>
      </c>
      <c r="R555" s="4">
        <f t="shared" si="491"/>
        <v>19661.2480964904</v>
      </c>
      <c r="S555" s="4">
        <f t="shared" si="492"/>
        <v>1.57074546532387</v>
      </c>
      <c r="T555" s="4" t="str">
        <f t="shared" si="481"/>
        <v>1+230,954233089656i</v>
      </c>
      <c r="U555" s="4">
        <f t="shared" si="493"/>
        <v>230.956398010601</v>
      </c>
      <c r="V555" s="4">
        <f t="shared" si="494"/>
        <v>1.56646649166931</v>
      </c>
      <c r="W555" t="str">
        <f t="shared" si="482"/>
        <v>1-109,65089014319i</v>
      </c>
      <c r="X555" s="4">
        <f t="shared" si="495"/>
        <v>109.655449974882</v>
      </c>
      <c r="Y555" s="4">
        <f t="shared" si="496"/>
        <v>-1.56167672661499</v>
      </c>
      <c r="Z555" t="str">
        <f t="shared" si="483"/>
        <v>-43,8604794985822+187,96248599952i</v>
      </c>
      <c r="AA555" s="4">
        <f t="shared" si="497"/>
        <v>193.012014664801</v>
      </c>
      <c r="AB555" s="4">
        <f t="shared" si="498"/>
        <v>1.80004120731075</v>
      </c>
      <c r="AC555" s="67" t="str">
        <f t="shared" si="499"/>
        <v>-0,624984103782993+0,142651685511202i</v>
      </c>
      <c r="AD555" s="68">
        <f t="shared" si="500"/>
        <v>-3.86206118680177</v>
      </c>
      <c r="AE555" s="31">
        <f t="shared" si="501"/>
        <v>167.142583341562</v>
      </c>
      <c r="AF555" s="32" t="str">
        <f t="shared" si="502"/>
        <v>236,914774604583</v>
      </c>
      <c r="AG555" s="32" t="str">
        <f t="shared" si="484"/>
        <v>1+4855,28785472572i</v>
      </c>
      <c r="AH555" s="32">
        <f t="shared" si="503"/>
        <v>4855.28795770622</v>
      </c>
      <c r="AI555" s="32">
        <f t="shared" si="504"/>
        <v>1.57059036578583</v>
      </c>
      <c r="AJ555" s="32" t="str">
        <f t="shared" si="485"/>
        <v>1+230,954233089656i</v>
      </c>
      <c r="AK555" s="32">
        <f t="shared" si="505"/>
        <v>230.956398010601</v>
      </c>
      <c r="AL555" s="32">
        <f t="shared" si="506"/>
        <v>1.56646649166931</v>
      </c>
      <c r="AM555" s="32" t="str">
        <f t="shared" si="486"/>
        <v>1-10,9785154098598i</v>
      </c>
      <c r="AN555" s="32">
        <f t="shared" si="507"/>
        <v>11.0239648314265</v>
      </c>
      <c r="AO555" s="32">
        <f t="shared" si="508"/>
        <v>-1.4799599946003</v>
      </c>
      <c r="AP555" s="30" t="str">
        <f t="shared" si="509"/>
        <v>10,7592521082519-123,768514537115i</v>
      </c>
      <c r="AQ555" s="32">
        <f t="shared" si="510"/>
        <v>41.8848993972533</v>
      </c>
      <c r="AR555" s="31">
        <f t="shared" si="511"/>
        <v>-85.0317421209215</v>
      </c>
      <c r="AS555" t="str">
        <f t="shared" si="487"/>
        <v>-0,000272527472527473</v>
      </c>
      <c r="AT555" t="str">
        <f t="shared" si="488"/>
        <v>3,30965664382944i</v>
      </c>
      <c r="AU555">
        <f t="shared" si="512"/>
        <v>3.30965664382944</v>
      </c>
      <c r="AV555">
        <f t="shared" si="513"/>
        <v>1.5707963267949</v>
      </c>
      <c r="AW555" t="str">
        <f t="shared" si="489"/>
        <v>1+169,44834965236i</v>
      </c>
      <c r="AX555">
        <f t="shared" si="514"/>
        <v>169.451300378334</v>
      </c>
      <c r="AY555">
        <f t="shared" si="515"/>
        <v>1.56489489197392</v>
      </c>
      <c r="AZ555" t="str">
        <f t="shared" si="490"/>
        <v>1+8101,07322699685i</v>
      </c>
      <c r="BA555">
        <f t="shared" si="516"/>
        <v>8101.07328871707</v>
      </c>
      <c r="BB555">
        <f t="shared" si="517"/>
        <v>1.57067288636091</v>
      </c>
      <c r="BC555" s="30" t="str">
        <f t="shared" si="518"/>
        <v>-0,0000227457206985888+0,00393656795957252i</v>
      </c>
      <c r="BD555" s="32">
        <f t="shared" si="519"/>
        <v>-48.0974999419244</v>
      </c>
      <c r="BE555" s="31">
        <f t="shared" si="520"/>
        <v>90.3310546924246</v>
      </c>
      <c r="BF555" s="30" t="str">
        <f t="shared" si="521"/>
        <v>-0,000547342340696707-0,0024635371135901i</v>
      </c>
      <c r="BG555" s="68">
        <f t="shared" si="522"/>
        <v>-51.9595611287261</v>
      </c>
      <c r="BH555" s="31">
        <f t="shared" si="523"/>
        <v>-102.526361966013</v>
      </c>
      <c r="BI555" s="30" t="str">
        <f t="shared" si="476"/>
        <v>0,486978441787313+0,045169731181248i</v>
      </c>
      <c r="BJ555" s="68">
        <f t="shared" si="524"/>
        <v>-6.21260054467103</v>
      </c>
      <c r="BK555" s="31">
        <f t="shared" si="477"/>
        <v>5.2993125715031</v>
      </c>
      <c r="BL555" s="32">
        <f t="shared" si="525"/>
        <v>-51.9595611287261</v>
      </c>
      <c r="BM555" s="31">
        <f t="shared" si="526"/>
        <v>-102.526361966013</v>
      </c>
      <c r="BO555">
        <f t="shared" si="527"/>
        <v>0</v>
      </c>
      <c r="BP555">
        <f t="shared" si="528"/>
        <v>0</v>
      </c>
    </row>
    <row r="556" spans="14:68">
      <c r="N556" s="7">
        <v>38</v>
      </c>
      <c r="O556" s="18">
        <f t="shared" si="478"/>
        <v>2398832.91901949</v>
      </c>
      <c r="P556" s="86" t="str">
        <f t="shared" si="479"/>
        <v>96,0576923076923</v>
      </c>
      <c r="Q556" s="4" t="str">
        <f t="shared" si="480"/>
        <v>1+20119,2173706088i</v>
      </c>
      <c r="R556" s="4">
        <f t="shared" si="491"/>
        <v>20119.2173954607</v>
      </c>
      <c r="S556" s="4">
        <f t="shared" si="492"/>
        <v>1.57074662307229</v>
      </c>
      <c r="T556" s="4" t="str">
        <f t="shared" si="481"/>
        <v>1+236,33384825822i</v>
      </c>
      <c r="U556" s="4">
        <f t="shared" si="493"/>
        <v>236.335963899994</v>
      </c>
      <c r="V556" s="4">
        <f t="shared" si="494"/>
        <v>1.56656504955949</v>
      </c>
      <c r="W556" t="str">
        <f t="shared" si="482"/>
        <v>1-112,204987480873i</v>
      </c>
      <c r="X556" s="4">
        <f t="shared" si="495"/>
        <v>112.209443522294</v>
      </c>
      <c r="Y556" s="4">
        <f t="shared" si="496"/>
        <v>-1.56188430293939</v>
      </c>
      <c r="Z556" t="str">
        <f t="shared" si="483"/>
        <v>-45,9746887622172+192,340694734978i</v>
      </c>
      <c r="AA556" s="4">
        <f t="shared" si="497"/>
        <v>197.758981737661</v>
      </c>
      <c r="AB556" s="4">
        <f t="shared" si="498"/>
        <v>1.80542143894329</v>
      </c>
      <c r="AC556" s="67" t="str">
        <f t="shared" si="499"/>
        <v>-0,623397363859278+0,145895088910801i</v>
      </c>
      <c r="AD556" s="68">
        <f t="shared" si="500"/>
        <v>-3.87311857252002</v>
      </c>
      <c r="AE556" s="31">
        <f t="shared" si="501"/>
        <v>166.828006145947</v>
      </c>
      <c r="AF556" s="32" t="str">
        <f t="shared" si="502"/>
        <v>236,914774604583</v>
      </c>
      <c r="AG556" s="32" t="str">
        <f t="shared" si="484"/>
        <v>1+4968,38203724667i</v>
      </c>
      <c r="AH556" s="32">
        <f t="shared" si="503"/>
        <v>4968.38213788305</v>
      </c>
      <c r="AI556" s="32">
        <f t="shared" si="504"/>
        <v>1.57059505403064</v>
      </c>
      <c r="AJ556" s="32" t="str">
        <f t="shared" si="485"/>
        <v>1+236,33384825822i</v>
      </c>
      <c r="AK556" s="32">
        <f t="shared" si="505"/>
        <v>236.335963899994</v>
      </c>
      <c r="AL556" s="32">
        <f t="shared" si="506"/>
        <v>1.56656504955949</v>
      </c>
      <c r="AM556" s="32" t="str">
        <f t="shared" si="486"/>
        <v>1-11,2342378845557i</v>
      </c>
      <c r="AN556" s="32">
        <f t="shared" si="507"/>
        <v>11.2786568724643</v>
      </c>
      <c r="AO556" s="32">
        <f t="shared" si="508"/>
        <v>-1.48201670905933</v>
      </c>
      <c r="AP556" s="30" t="str">
        <f t="shared" si="509"/>
        <v>10,7592516764731-126,649308348996i</v>
      </c>
      <c r="AQ556" s="32">
        <f t="shared" si="510"/>
        <v>42.0832870481215</v>
      </c>
      <c r="AR556" s="31">
        <f t="shared" si="511"/>
        <v>-85.1442048445832</v>
      </c>
      <c r="AS556" t="str">
        <f t="shared" si="487"/>
        <v>-0,000272527472527473</v>
      </c>
      <c r="AT556" t="str">
        <f t="shared" si="488"/>
        <v>3,3867484504861i</v>
      </c>
      <c r="AU556">
        <f t="shared" si="512"/>
        <v>3.3867484504861</v>
      </c>
      <c r="AV556">
        <f t="shared" si="513"/>
        <v>1.5707963267949</v>
      </c>
      <c r="AW556" t="str">
        <f t="shared" si="489"/>
        <v>1+173,395308752798i</v>
      </c>
      <c r="AX556">
        <f t="shared" si="514"/>
        <v>173.398192313179</v>
      </c>
      <c r="AY556">
        <f t="shared" si="515"/>
        <v>1.56502922201756</v>
      </c>
      <c r="AZ556" t="str">
        <f t="shared" si="490"/>
        <v>1+8289,77146313909i</v>
      </c>
      <c r="BA556">
        <f t="shared" si="516"/>
        <v>8289.77152345438</v>
      </c>
      <c r="BB556">
        <f t="shared" si="517"/>
        <v>1.5706756962082</v>
      </c>
      <c r="BC556" s="30" t="str">
        <f t="shared" si="518"/>
        <v>-0,0000217220286791039+0,00384696663672093i</v>
      </c>
      <c r="BD556" s="32">
        <f t="shared" si="519"/>
        <v>-48.2974931375399</v>
      </c>
      <c r="BE556" s="31">
        <f t="shared" si="520"/>
        <v>90.3235191402535</v>
      </c>
      <c r="BF556" s="30" t="str">
        <f t="shared" si="521"/>
        <v>-0,000547712084085056-0,00240135799749188i</v>
      </c>
      <c r="BG556" s="68">
        <f t="shared" si="522"/>
        <v>-52.1706117100599</v>
      </c>
      <c r="BH556" s="31">
        <f t="shared" si="523"/>
        <v>-102.848474713799</v>
      </c>
      <c r="BI556" s="30" t="str">
        <f t="shared" si="476"/>
        <v>0,486981951008887+0,0441415621436213i</v>
      </c>
      <c r="BJ556" s="68">
        <f t="shared" si="524"/>
        <v>-6.21420608941846</v>
      </c>
      <c r="BK556" s="31">
        <f t="shared" si="477"/>
        <v>5.1793142956703</v>
      </c>
      <c r="BL556" s="32">
        <f t="shared" si="525"/>
        <v>-52.1706117100599</v>
      </c>
      <c r="BM556" s="31">
        <f t="shared" si="526"/>
        <v>-102.848474713799</v>
      </c>
      <c r="BO556">
        <f t="shared" si="527"/>
        <v>0</v>
      </c>
      <c r="BP556">
        <f t="shared" si="528"/>
        <v>0</v>
      </c>
    </row>
    <row r="557" spans="14:68">
      <c r="N557" s="7">
        <v>39</v>
      </c>
      <c r="O557" s="18">
        <f t="shared" si="478"/>
        <v>2454708.91568503</v>
      </c>
      <c r="P557" s="86" t="str">
        <f t="shared" si="479"/>
        <v>96,0576923076923</v>
      </c>
      <c r="Q557" s="4" t="str">
        <f t="shared" si="480"/>
        <v>1+20587,8541455171i</v>
      </c>
      <c r="R557" s="4">
        <f t="shared" si="491"/>
        <v>20587.8541698033</v>
      </c>
      <c r="S557" s="4">
        <f t="shared" si="492"/>
        <v>1.57074775446715</v>
      </c>
      <c r="T557" s="4" t="str">
        <f t="shared" si="481"/>
        <v>1+241,838770761379i</v>
      </c>
      <c r="U557" s="4">
        <f t="shared" si="493"/>
        <v>241.840838245683</v>
      </c>
      <c r="V557" s="4">
        <f t="shared" si="494"/>
        <v>1.56666136407763</v>
      </c>
      <c r="W557" t="str">
        <f t="shared" si="482"/>
        <v>1-114,818577388127i</v>
      </c>
      <c r="X557" s="4">
        <f t="shared" si="495"/>
        <v>114.822932001553</v>
      </c>
      <c r="Y557" s="4">
        <f t="shared" si="496"/>
        <v>-1.56208715499191</v>
      </c>
      <c r="Z557" t="str">
        <f t="shared" si="483"/>
        <v>-48,1885376387232+196,820885052714i</v>
      </c>
      <c r="AA557" s="4">
        <f t="shared" si="497"/>
        <v>202.634143106961</v>
      </c>
      <c r="AB557" s="4">
        <f t="shared" si="498"/>
        <v>1.81090743960163</v>
      </c>
      <c r="AC557" s="67" t="str">
        <f t="shared" si="499"/>
        <v>-0,621744419631491+0,149181411061819i</v>
      </c>
      <c r="AD557" s="68">
        <f t="shared" si="500"/>
        <v>-3.88466573543502</v>
      </c>
      <c r="AE557" s="31">
        <f t="shared" si="501"/>
        <v>166.507512486588</v>
      </c>
      <c r="AF557" s="32" t="str">
        <f t="shared" si="502"/>
        <v>236,914774604583</v>
      </c>
      <c r="AG557" s="32" t="str">
        <f t="shared" si="484"/>
        <v>1+5084,11052168808i</v>
      </c>
      <c r="AH557" s="32">
        <f t="shared" si="503"/>
        <v>5084.1106200337</v>
      </c>
      <c r="AI557" s="32">
        <f t="shared" si="504"/>
        <v>1.57059963555799</v>
      </c>
      <c r="AJ557" s="32" t="str">
        <f t="shared" si="485"/>
        <v>1+241,838770761379i</v>
      </c>
      <c r="AK557" s="32">
        <f t="shared" si="505"/>
        <v>241.840838245683</v>
      </c>
      <c r="AL557" s="32">
        <f t="shared" si="506"/>
        <v>1.56666136407763</v>
      </c>
      <c r="AM557" s="32" t="str">
        <f t="shared" si="486"/>
        <v>1-11,4959169008808i</v>
      </c>
      <c r="AN557" s="32">
        <f t="shared" si="507"/>
        <v>11.5393286369683</v>
      </c>
      <c r="AO557" s="32">
        <f t="shared" si="508"/>
        <v>-1.48402733492223</v>
      </c>
      <c r="AP557" s="30" t="str">
        <f t="shared" si="509"/>
        <v>10,7592512641276-129,59725330056i</v>
      </c>
      <c r="AQ557" s="32">
        <f t="shared" si="510"/>
        <v>42.2817467101927</v>
      </c>
      <c r="AR557" s="31">
        <f t="shared" si="511"/>
        <v>-85.2541493074921</v>
      </c>
      <c r="AS557" t="str">
        <f t="shared" si="487"/>
        <v>-0,000272527472527473</v>
      </c>
      <c r="AT557" t="str">
        <f t="shared" si="488"/>
        <v>3,46563595600013i</v>
      </c>
      <c r="AU557">
        <f t="shared" si="512"/>
        <v>3.46563595600013</v>
      </c>
      <c r="AV557">
        <f t="shared" si="513"/>
        <v>1.5707963267949</v>
      </c>
      <c r="AW557" t="str">
        <f t="shared" si="489"/>
        <v>1+177,434204341096i</v>
      </c>
      <c r="AX557">
        <f t="shared" si="514"/>
        <v>177.437022264684</v>
      </c>
      <c r="AY557">
        <f t="shared" si="515"/>
        <v>1.56516049453721</v>
      </c>
      <c r="AZ557" t="str">
        <f t="shared" si="490"/>
        <v>1+8482,86504583919i</v>
      </c>
      <c r="BA557">
        <f t="shared" si="516"/>
        <v>8482.86510478154</v>
      </c>
      <c r="BB557">
        <f t="shared" si="517"/>
        <v>1.57067844209557</v>
      </c>
      <c r="BC557" s="30" t="str">
        <f t="shared" si="518"/>
        <v>-0,0000207444073943457+0,00375940449494679i</v>
      </c>
      <c r="BD557" s="32">
        <f t="shared" si="519"/>
        <v>-48.4974866393933</v>
      </c>
      <c r="BE557" s="31">
        <f t="shared" si="520"/>
        <v>90.3161551066685</v>
      </c>
      <c r="BF557" s="30" t="str">
        <f t="shared" si="521"/>
        <v>-0,000547935547772311-0,00234048344583744i</v>
      </c>
      <c r="BG557" s="68">
        <f t="shared" si="522"/>
        <v>-52.3821523748283</v>
      </c>
      <c r="BH557" s="31">
        <f t="shared" si="523"/>
        <v>-103.176332406744</v>
      </c>
      <c r="BI557" s="30" t="str">
        <f t="shared" si="476"/>
        <v>0,486985302299402+0,0431367957842783i</v>
      </c>
      <c r="BJ557" s="68">
        <f t="shared" si="524"/>
        <v>-6.21573992920059</v>
      </c>
      <c r="BK557" s="31">
        <f t="shared" si="477"/>
        <v>5.06200579917633</v>
      </c>
      <c r="BL557" s="32">
        <f t="shared" si="525"/>
        <v>-52.3821523748283</v>
      </c>
      <c r="BM557" s="31">
        <f t="shared" si="526"/>
        <v>-103.176332406744</v>
      </c>
      <c r="BO557">
        <f t="shared" si="527"/>
        <v>0</v>
      </c>
      <c r="BP557">
        <f t="shared" si="528"/>
        <v>0</v>
      </c>
    </row>
    <row r="558" spans="14:68">
      <c r="N558" s="7">
        <v>40</v>
      </c>
      <c r="O558" s="18">
        <f t="shared" si="478"/>
        <v>2511886.43150959</v>
      </c>
      <c r="P558" s="86" t="str">
        <f t="shared" si="479"/>
        <v>96,0576923076923</v>
      </c>
      <c r="Q558" s="4" t="str">
        <f t="shared" si="480"/>
        <v>1+21067,406873206i</v>
      </c>
      <c r="R558" s="4">
        <f t="shared" si="491"/>
        <v>21067.4068969393</v>
      </c>
      <c r="S558" s="4">
        <f t="shared" si="492"/>
        <v>1.57074886010831</v>
      </c>
      <c r="T558" s="4" t="str">
        <f t="shared" si="481"/>
        <v>1+247,471919381912i</v>
      </c>
      <c r="U558" s="4">
        <f t="shared" si="493"/>
        <v>247.473939804917</v>
      </c>
      <c r="V558" s="4">
        <f t="shared" si="494"/>
        <v>1.5667554862838</v>
      </c>
      <c r="W558" t="str">
        <f t="shared" si="482"/>
        <v>1-117,493045624916i</v>
      </c>
      <c r="X558" s="4">
        <f t="shared" si="495"/>
        <v>117.497301118871</v>
      </c>
      <c r="Y558" s="4">
        <f t="shared" si="496"/>
        <v>-1.56228539026059</v>
      </c>
      <c r="Z558" t="str">
        <f t="shared" si="483"/>
        <v>-50,5067219983836+201,405432408939i</v>
      </c>
      <c r="AA558" s="4">
        <f t="shared" si="497"/>
        <v>207.641703833439</v>
      </c>
      <c r="AB558" s="4">
        <f t="shared" si="498"/>
        <v>1.81650088038161</v>
      </c>
      <c r="AC558" s="67" t="str">
        <f t="shared" si="499"/>
        <v>-0,620022909181233+0,152510224480619i</v>
      </c>
      <c r="AD558" s="68">
        <f t="shared" si="500"/>
        <v>-3.8967230960884</v>
      </c>
      <c r="AE558" s="31">
        <f t="shared" si="501"/>
        <v>166.181003349293</v>
      </c>
      <c r="AF558" s="32" t="str">
        <f t="shared" si="502"/>
        <v>236,914774604583</v>
      </c>
      <c r="AG558" s="32" t="str">
        <f t="shared" si="484"/>
        <v>1+5202,53466882428i</v>
      </c>
      <c r="AH558" s="32">
        <f t="shared" si="503"/>
        <v>5202.53476493128</v>
      </c>
      <c r="AI558" s="32">
        <f t="shared" si="504"/>
        <v>1.57060411279704</v>
      </c>
      <c r="AJ558" s="32" t="str">
        <f t="shared" si="485"/>
        <v>1+247,471919381912i</v>
      </c>
      <c r="AK558" s="32">
        <f t="shared" si="505"/>
        <v>247.473939804917</v>
      </c>
      <c r="AL558" s="32">
        <f t="shared" si="506"/>
        <v>1.5667554862838</v>
      </c>
      <c r="AM558" s="32" t="str">
        <f t="shared" si="486"/>
        <v>1-11,7636912045133i</v>
      </c>
      <c r="AN558" s="32">
        <f t="shared" si="507"/>
        <v>11.8061183610509</v>
      </c>
      <c r="AO558" s="32">
        <f t="shared" si="508"/>
        <v>-1.48599287318788</v>
      </c>
      <c r="AP558" s="30" t="str">
        <f t="shared" si="509"/>
        <v>10,7592508703407-132,613912431239i</v>
      </c>
      <c r="AQ558" s="32">
        <f t="shared" si="510"/>
        <v>42.4802751910318</v>
      </c>
      <c r="AR558" s="31">
        <f t="shared" si="511"/>
        <v>-85.3616300763151</v>
      </c>
      <c r="AS558" t="str">
        <f t="shared" si="487"/>
        <v>-0,000272527472527473</v>
      </c>
      <c r="AT558" t="str">
        <f t="shared" si="488"/>
        <v>3,54636098757115i</v>
      </c>
      <c r="AU558">
        <f t="shared" si="512"/>
        <v>3.54636098757115</v>
      </c>
      <c r="AV558">
        <f t="shared" si="513"/>
        <v>1.5707963267949</v>
      </c>
      <c r="AW558" t="str">
        <f t="shared" si="489"/>
        <v>1+181,567177893155i</v>
      </c>
      <c r="AX558">
        <f t="shared" si="514"/>
        <v>181.569931673955</v>
      </c>
      <c r="AY558">
        <f t="shared" si="515"/>
        <v>1.56528877911719</v>
      </c>
      <c r="AZ558" t="str">
        <f t="shared" si="490"/>
        <v>1+8680,45635587063i</v>
      </c>
      <c r="BA558">
        <f t="shared" si="516"/>
        <v>8680.45641347129</v>
      </c>
      <c r="BB558">
        <f t="shared" si="517"/>
        <v>1.57068112547891</v>
      </c>
      <c r="BC558" s="30" t="str">
        <f t="shared" si="518"/>
        <v>-0,0000198107835832682+0,00367383514312024i</v>
      </c>
      <c r="BD558" s="32">
        <f t="shared" si="519"/>
        <v>-48.6974804337023</v>
      </c>
      <c r="BE558" s="31">
        <f t="shared" si="520"/>
        <v>90.3089586881989</v>
      </c>
      <c r="BF558" s="30" t="str">
        <f t="shared" si="521"/>
        <v>-0,000548014282711597-0,00228088330034108i</v>
      </c>
      <c r="BG558" s="68">
        <f t="shared" si="522"/>
        <v>-52.5942035297907</v>
      </c>
      <c r="BH558" s="31">
        <f t="shared" si="523"/>
        <v>-103.510037962508</v>
      </c>
      <c r="BI558" s="30" t="str">
        <f t="shared" si="476"/>
        <v>0,486988502766045+0,0421548994804105i</v>
      </c>
      <c r="BJ558" s="68">
        <f t="shared" si="524"/>
        <v>-6.21720524267046</v>
      </c>
      <c r="BK558" s="31">
        <f t="shared" si="477"/>
        <v>4.94732861188387</v>
      </c>
      <c r="BL558" s="32">
        <f t="shared" si="525"/>
        <v>-52.5942035297907</v>
      </c>
      <c r="BM558" s="31">
        <f t="shared" si="526"/>
        <v>-103.510037962508</v>
      </c>
      <c r="BO558">
        <f t="shared" si="527"/>
        <v>0</v>
      </c>
      <c r="BP558">
        <f t="shared" si="528"/>
        <v>0</v>
      </c>
    </row>
    <row r="559" spans="14:68">
      <c r="N559" s="7">
        <v>41</v>
      </c>
      <c r="O559" s="18">
        <f t="shared" si="478"/>
        <v>2570395.78276887</v>
      </c>
      <c r="P559" s="86" t="str">
        <f t="shared" si="479"/>
        <v>96,0576923076923</v>
      </c>
      <c r="Q559" s="4" t="str">
        <f t="shared" si="480"/>
        <v>1+21558,1298188791i</v>
      </c>
      <c r="R559" s="4">
        <f t="shared" si="491"/>
        <v>21558.1298420722</v>
      </c>
      <c r="S559" s="4">
        <f t="shared" si="492"/>
        <v>1.57074994058201</v>
      </c>
      <c r="T559" s="4" t="str">
        <f t="shared" si="481"/>
        <v>1+253,236280889778i</v>
      </c>
      <c r="U559" s="4">
        <f t="shared" si="493"/>
        <v>253.238255322703</v>
      </c>
      <c r="V559" s="4">
        <f t="shared" si="494"/>
        <v>1.56684746607617</v>
      </c>
      <c r="W559" t="str">
        <f t="shared" si="482"/>
        <v>1-120,229810229699i</v>
      </c>
      <c r="X559" s="4">
        <f t="shared" si="495"/>
        <v>120.233968860175</v>
      </c>
      <c r="Y559" s="4">
        <f t="shared" si="496"/>
        <v>-1.56247911379002</v>
      </c>
      <c r="Z559" t="str">
        <f t="shared" si="483"/>
        <v>-52,9341590210285+206,096767591342i</v>
      </c>
      <c r="AA559" s="4">
        <f t="shared" si="497"/>
        <v>212.786049361473</v>
      </c>
      <c r="AB559" s="4">
        <f t="shared" si="498"/>
        <v>1.82220341159355</v>
      </c>
      <c r="AC559" s="67" t="str">
        <f t="shared" si="499"/>
        <v>-0,618230421981751+0,155881001219095i</v>
      </c>
      <c r="AD559" s="68">
        <f t="shared" si="500"/>
        <v>-3.90931179638137</v>
      </c>
      <c r="AE559" s="31">
        <f t="shared" si="501"/>
        <v>165.848380984999</v>
      </c>
      <c r="AF559" s="32" t="str">
        <f t="shared" si="502"/>
        <v>236,914774604583</v>
      </c>
      <c r="AG559" s="32" t="str">
        <f t="shared" si="484"/>
        <v>1+5323,71726870555i</v>
      </c>
      <c r="AH559" s="32">
        <f t="shared" si="503"/>
        <v>5323.71736262489</v>
      </c>
      <c r="AI559" s="32">
        <f t="shared" si="504"/>
        <v>1.5706084881217</v>
      </c>
      <c r="AJ559" s="32" t="str">
        <f t="shared" si="485"/>
        <v>1+253,236280889778i</v>
      </c>
      <c r="AK559" s="32">
        <f t="shared" si="505"/>
        <v>253.238255322703</v>
      </c>
      <c r="AL559" s="32">
        <f t="shared" si="506"/>
        <v>1.56684746607617</v>
      </c>
      <c r="AM559" s="32" t="str">
        <f t="shared" si="486"/>
        <v>1-12,0377027729332i</v>
      </c>
      <c r="AN559" s="32">
        <f t="shared" si="507"/>
        <v>12.0791675230325</v>
      </c>
      <c r="AO559" s="32">
        <f t="shared" si="508"/>
        <v>-1.48791430522862</v>
      </c>
      <c r="AP559" s="30" t="str">
        <f t="shared" si="509"/>
        <v>10,7592504942771-135,700885213635i</v>
      </c>
      <c r="AQ559" s="32">
        <f t="shared" si="510"/>
        <v>42.6788694376568</v>
      </c>
      <c r="AR559" s="31">
        <f t="shared" si="511"/>
        <v>-85.4667006566042</v>
      </c>
      <c r="AS559" t="str">
        <f t="shared" si="487"/>
        <v>-0,000272527472527473</v>
      </c>
      <c r="AT559" t="str">
        <f t="shared" si="488"/>
        <v>3,62896634667941i</v>
      </c>
      <c r="AU559">
        <f t="shared" si="512"/>
        <v>3.62896634667941</v>
      </c>
      <c r="AV559">
        <f t="shared" si="513"/>
        <v>1.5707963267949</v>
      </c>
      <c r="AW559" t="str">
        <f t="shared" si="489"/>
        <v>1+185,796420766259i</v>
      </c>
      <c r="AX559">
        <f t="shared" si="514"/>
        <v>185.799111864273</v>
      </c>
      <c r="AY559">
        <f t="shared" si="515"/>
        <v>1.56541414375879</v>
      </c>
      <c r="AZ559" t="str">
        <f t="shared" si="490"/>
        <v>1+8882,65015876133i</v>
      </c>
      <c r="BA559">
        <f t="shared" si="516"/>
        <v>8882.65021505083</v>
      </c>
      <c r="BB559">
        <f t="shared" si="517"/>
        <v>1.57068374778099</v>
      </c>
      <c r="BC559" s="30" t="str">
        <f t="shared" si="518"/>
        <v>-0,0000189191772737523+0,0035902132443473i</v>
      </c>
      <c r="BD559" s="32">
        <f t="shared" si="519"/>
        <v>-48.8974745073051</v>
      </c>
      <c r="BE559" s="31">
        <f t="shared" si="520"/>
        <v>90.3019260701768</v>
      </c>
      <c r="BF559" s="30" t="str">
        <f t="shared" si="521"/>
        <v>-0,000547949624169413-0,00222252818935298i</v>
      </c>
      <c r="BG559" s="68">
        <f t="shared" si="522"/>
        <v>-52.8067863036865</v>
      </c>
      <c r="BH559" s="31">
        <f t="shared" si="523"/>
        <v>-103.849692944825</v>
      </c>
      <c r="BI559" s="30" t="str">
        <f t="shared" si="476"/>
        <v>0,486991559196211+0,0411953527273657i</v>
      </c>
      <c r="BJ559" s="68">
        <f t="shared" si="524"/>
        <v>-6.2186050696484</v>
      </c>
      <c r="BK559" s="31">
        <f t="shared" si="477"/>
        <v>4.83522541357258</v>
      </c>
      <c r="BL559" s="32">
        <f t="shared" si="525"/>
        <v>-52.8067863036865</v>
      </c>
      <c r="BM559" s="31">
        <f t="shared" si="526"/>
        <v>-103.849692944825</v>
      </c>
      <c r="BO559">
        <f t="shared" si="527"/>
        <v>0</v>
      </c>
      <c r="BP559">
        <f t="shared" si="528"/>
        <v>0</v>
      </c>
    </row>
    <row r="560" ht="15.75" spans="14:68">
      <c r="N560" s="7">
        <v>42</v>
      </c>
      <c r="O560" s="18">
        <f t="shared" si="478"/>
        <v>2630267.99189538</v>
      </c>
      <c r="P560" s="86" t="str">
        <f t="shared" si="479"/>
        <v>96,0576923076923</v>
      </c>
      <c r="Q560" s="4" t="str">
        <f t="shared" si="480"/>
        <v>1+22060,2831703377i</v>
      </c>
      <c r="R560" s="4">
        <f t="shared" si="491"/>
        <v>22060.2831930029</v>
      </c>
      <c r="S560" s="4">
        <f t="shared" si="492"/>
        <v>1.57075099646112</v>
      </c>
      <c r="T560" s="4" t="str">
        <f t="shared" si="481"/>
        <v>1+259,13491162575i</v>
      </c>
      <c r="U560" s="4">
        <f t="shared" si="493"/>
        <v>259.136841115433</v>
      </c>
      <c r="V560" s="4">
        <f t="shared" si="494"/>
        <v>1.56693735221742</v>
      </c>
      <c r="W560" t="str">
        <f t="shared" si="482"/>
        <v>1-123,030322271296i</v>
      </c>
      <c r="X560" s="4">
        <f t="shared" si="495"/>
        <v>123.034386242948</v>
      </c>
      <c r="Y560" s="4">
        <f t="shared" si="496"/>
        <v>-1.5626684282368</v>
      </c>
      <c r="Z560" t="str">
        <f t="shared" si="483"/>
        <v>-55,4759976260358+210,897378007935i</v>
      </c>
      <c r="AA560" s="4">
        <f t="shared" si="497"/>
        <v>218.071755078978</v>
      </c>
      <c r="AB560" s="4">
        <f t="shared" si="498"/>
        <v>1.82801665925634</v>
      </c>
      <c r="AC560" s="74" t="str">
        <f t="shared" si="499"/>
        <v>-0,616364501332582+0,159293107152889i</v>
      </c>
      <c r="AD560" s="75">
        <f t="shared" si="500"/>
        <v>-3.92245371397778</v>
      </c>
      <c r="AE560" s="76">
        <f t="shared" si="501"/>
        <v>165.509549108969</v>
      </c>
      <c r="AF560" s="32" t="str">
        <f t="shared" si="502"/>
        <v>236,914774604583</v>
      </c>
      <c r="AG560" s="32" t="str">
        <f t="shared" si="484"/>
        <v>1+5447,72257395042i</v>
      </c>
      <c r="AH560" s="32">
        <f t="shared" si="503"/>
        <v>5447.72266573189</v>
      </c>
      <c r="AI560" s="32">
        <f t="shared" si="504"/>
        <v>1.57061276385181</v>
      </c>
      <c r="AJ560" s="32" t="str">
        <f t="shared" si="485"/>
        <v>1+259,13491162575i</v>
      </c>
      <c r="AK560" s="32">
        <f t="shared" si="505"/>
        <v>259.136841115433</v>
      </c>
      <c r="AL560" s="32">
        <f t="shared" si="506"/>
        <v>1.56693735221742</v>
      </c>
      <c r="AM560" s="32" t="str">
        <f t="shared" si="486"/>
        <v>1-12,3180968907011i</v>
      </c>
      <c r="AN560" s="32">
        <f t="shared" si="507"/>
        <v>12.3586209185613</v>
      </c>
      <c r="AO560" s="32">
        <f t="shared" si="508"/>
        <v>-1.4897925930317</v>
      </c>
      <c r="AP560" s="69" t="str">
        <f t="shared" si="509"/>
        <v>10,7592501351392-138,859808401577i</v>
      </c>
      <c r="AQ560" s="73">
        <f t="shared" si="510"/>
        <v>42.8775265306279</v>
      </c>
      <c r="AR560" s="76">
        <f t="shared" si="511"/>
        <v>-85.5694135051913</v>
      </c>
      <c r="AS560" t="str">
        <f t="shared" si="487"/>
        <v>-0,000272527472527473</v>
      </c>
      <c r="AT560" t="str">
        <f t="shared" si="488"/>
        <v>3,71349583177972i</v>
      </c>
      <c r="AU560">
        <f t="shared" si="512"/>
        <v>3.71349583177972</v>
      </c>
      <c r="AV560">
        <f t="shared" si="513"/>
        <v>1.5707963267949</v>
      </c>
      <c r="AW560" t="str">
        <f t="shared" si="489"/>
        <v>1+190,124175360958i</v>
      </c>
      <c r="AX560">
        <f t="shared" si="514"/>
        <v>190.12680520296</v>
      </c>
      <c r="AY560">
        <f t="shared" si="515"/>
        <v>1.56553665491623</v>
      </c>
      <c r="AZ560" t="str">
        <f t="shared" si="490"/>
        <v>1+9089,55366034198i</v>
      </c>
      <c r="BA560">
        <f t="shared" si="516"/>
        <v>9089.55371535018</v>
      </c>
      <c r="BB560">
        <f t="shared" si="517"/>
        <v>1.57068631039218</v>
      </c>
      <c r="BC560" s="69" t="str">
        <f t="shared" si="518"/>
        <v>-0,0000180676975859537+0,00350849449208979i</v>
      </c>
      <c r="BD560" s="73">
        <f t="shared" si="519"/>
        <v>-49.0974688476322</v>
      </c>
      <c r="BE560" s="76">
        <f t="shared" si="520"/>
        <v>90.2950535247185</v>
      </c>
      <c r="BF560" s="69" t="str">
        <f t="shared" si="521"/>
        <v>-0,000547742701660986-0,0021653895177326i</v>
      </c>
      <c r="BG560" s="75">
        <f t="shared" si="522"/>
        <v>-53.01992256161</v>
      </c>
      <c r="BH560" s="76">
        <f t="shared" si="523"/>
        <v>-104.195397366313</v>
      </c>
      <c r="BI560" s="69" t="str">
        <f t="shared" si="476"/>
        <v>0,486994478071883+0,0402576468631954i</v>
      </c>
      <c r="BJ560" s="75">
        <f t="shared" si="524"/>
        <v>-6.21994231700433</v>
      </c>
      <c r="BK560" s="76">
        <f t="shared" si="477"/>
        <v>4.72564001952722</v>
      </c>
      <c r="BL560" s="73">
        <f t="shared" si="525"/>
        <v>-53.01992256161</v>
      </c>
      <c r="BM560" s="76">
        <f t="shared" si="526"/>
        <v>-104.195397366313</v>
      </c>
    </row>
    <row r="561" spans="14:30">
      <c r="N561" s="7"/>
      <c r="P561" s="86"/>
      <c r="Q561" s="4"/>
      <c r="R561" s="4"/>
      <c r="S561" s="4"/>
      <c r="T561" s="4"/>
      <c r="U561" s="4"/>
      <c r="V561" s="4"/>
      <c r="X561" s="4"/>
      <c r="Y561" s="4"/>
      <c r="AA561" s="4"/>
      <c r="AB561" s="4"/>
      <c r="AC561" s="4"/>
      <c r="AD561" s="95"/>
    </row>
    <row r="562" spans="14:30">
      <c r="N562" s="7"/>
      <c r="P562" s="86"/>
      <c r="Q562" s="4"/>
      <c r="R562" s="4"/>
      <c r="S562" s="4"/>
      <c r="T562" s="4"/>
      <c r="U562" s="4"/>
      <c r="V562" s="4"/>
      <c r="X562" s="4"/>
      <c r="Y562" s="4"/>
      <c r="AA562" s="4"/>
      <c r="AB562" s="4"/>
      <c r="AC562" s="4"/>
      <c r="AD562" s="95"/>
    </row>
    <row r="563" spans="14:30">
      <c r="N563" s="7"/>
      <c r="P563" s="86"/>
      <c r="Q563" s="4"/>
      <c r="R563" s="4"/>
      <c r="S563" s="4"/>
      <c r="T563" s="4"/>
      <c r="U563" s="4"/>
      <c r="V563" s="4"/>
      <c r="X563" s="4"/>
      <c r="Y563" s="4"/>
      <c r="AA563" s="4"/>
      <c r="AB563" s="4"/>
      <c r="AC563" s="4"/>
      <c r="AD563" s="95"/>
    </row>
    <row r="564" spans="14:30">
      <c r="N564" s="7"/>
      <c r="P564" s="86"/>
      <c r="Q564" s="4"/>
      <c r="R564" s="4"/>
      <c r="S564" s="4"/>
      <c r="T564" s="4"/>
      <c r="U564" s="4"/>
      <c r="V564" s="4"/>
      <c r="X564" s="4"/>
      <c r="Y564" s="4"/>
      <c r="AA564" s="4"/>
      <c r="AB564" s="4"/>
      <c r="AC564" s="4"/>
      <c r="AD564" s="95"/>
    </row>
    <row r="565" spans="14:30">
      <c r="N565" s="7"/>
      <c r="P565" s="86"/>
      <c r="Q565" s="4"/>
      <c r="R565" s="4"/>
      <c r="S565" s="4"/>
      <c r="T565" s="4"/>
      <c r="U565" s="4"/>
      <c r="V565" s="4"/>
      <c r="X565" s="4"/>
      <c r="Y565" s="4"/>
      <c r="AA565" s="4"/>
      <c r="AB565" s="4"/>
      <c r="AC565" s="4"/>
      <c r="AD565" s="95"/>
    </row>
    <row r="566" spans="14:30">
      <c r="N566" s="7"/>
      <c r="P566" s="86"/>
      <c r="Q566" s="4"/>
      <c r="R566" s="4"/>
      <c r="S566" s="4"/>
      <c r="T566" s="4"/>
      <c r="U566" s="4"/>
      <c r="V566" s="4"/>
      <c r="X566" s="4"/>
      <c r="Y566" s="4"/>
      <c r="AA566" s="4"/>
      <c r="AB566" s="4"/>
      <c r="AC566" s="4"/>
      <c r="AD566" s="95"/>
    </row>
    <row r="567" spans="14:30">
      <c r="N567" s="7"/>
      <c r="P567" s="86"/>
      <c r="Q567" s="4"/>
      <c r="R567" s="4"/>
      <c r="S567" s="4"/>
      <c r="T567" s="4"/>
      <c r="U567" s="4"/>
      <c r="V567" s="4"/>
      <c r="X567" s="4"/>
      <c r="Y567" s="4"/>
      <c r="AA567" s="4"/>
      <c r="AB567" s="4"/>
      <c r="AC567" s="4"/>
      <c r="AD567" s="95"/>
    </row>
    <row r="568" spans="14:30">
      <c r="N568" s="7"/>
      <c r="P568" s="86"/>
      <c r="Q568" s="4"/>
      <c r="R568" s="4"/>
      <c r="S568" s="4"/>
      <c r="T568" s="4"/>
      <c r="U568" s="4"/>
      <c r="V568" s="4"/>
      <c r="X568" s="4"/>
      <c r="Y568" s="4"/>
      <c r="AA568" s="4"/>
      <c r="AB568" s="4"/>
      <c r="AC568" s="4"/>
      <c r="AD568" s="95"/>
    </row>
    <row r="569" spans="14:30">
      <c r="N569" s="7"/>
      <c r="P569" s="86"/>
      <c r="Q569" s="4"/>
      <c r="R569" s="4"/>
      <c r="S569" s="4"/>
      <c r="T569" s="4"/>
      <c r="U569" s="4"/>
      <c r="V569" s="4"/>
      <c r="X569" s="4"/>
      <c r="Y569" s="4"/>
      <c r="AA569" s="4"/>
      <c r="AB569" s="4"/>
      <c r="AC569" s="4"/>
      <c r="AD569" s="95"/>
    </row>
    <row r="570" spans="14:30">
      <c r="N570" s="7"/>
      <c r="P570" s="86"/>
      <c r="Q570" s="4"/>
      <c r="R570" s="4"/>
      <c r="S570" s="4"/>
      <c r="T570" s="4"/>
      <c r="U570" s="4"/>
      <c r="V570" s="4"/>
      <c r="X570" s="4"/>
      <c r="Y570" s="4"/>
      <c r="AA570" s="4"/>
      <c r="AB570" s="4"/>
      <c r="AC570" s="4"/>
      <c r="AD570" s="95"/>
    </row>
    <row r="571" spans="14:30">
      <c r="N571" s="7"/>
      <c r="P571" s="86"/>
      <c r="Q571" s="4"/>
      <c r="R571" s="4"/>
      <c r="S571" s="4"/>
      <c r="T571" s="4"/>
      <c r="U571" s="4"/>
      <c r="V571" s="4"/>
      <c r="X571" s="4"/>
      <c r="Y571" s="4"/>
      <c r="AA571" s="4"/>
      <c r="AB571" s="4"/>
      <c r="AC571" s="4"/>
      <c r="AD571" s="95"/>
    </row>
    <row r="572" spans="14:30">
      <c r="N572" s="7"/>
      <c r="P572" s="86"/>
      <c r="Q572" s="4"/>
      <c r="R572" s="4"/>
      <c r="S572" s="4"/>
      <c r="T572" s="4"/>
      <c r="U572" s="4"/>
      <c r="V572" s="4"/>
      <c r="X572" s="4"/>
      <c r="Y572" s="4"/>
      <c r="AA572" s="4"/>
      <c r="AB572" s="4"/>
      <c r="AC572" s="4"/>
      <c r="AD572" s="95"/>
    </row>
    <row r="573" spans="14:30">
      <c r="N573" s="7"/>
      <c r="P573" s="86"/>
      <c r="Q573" s="4"/>
      <c r="R573" s="4"/>
      <c r="S573" s="4"/>
      <c r="T573" s="4"/>
      <c r="U573" s="4"/>
      <c r="V573" s="4"/>
      <c r="X573" s="4"/>
      <c r="Y573" s="4"/>
      <c r="AA573" s="4"/>
      <c r="AB573" s="4"/>
      <c r="AC573" s="4"/>
      <c r="AD573" s="95"/>
    </row>
    <row r="574" spans="14:30">
      <c r="N574" s="7"/>
      <c r="P574" s="86"/>
      <c r="Q574" s="4"/>
      <c r="R574" s="4"/>
      <c r="S574" s="4"/>
      <c r="T574" s="4"/>
      <c r="U574" s="4"/>
      <c r="V574" s="4"/>
      <c r="X574" s="4"/>
      <c r="Y574" s="4"/>
      <c r="AA574" s="4"/>
      <c r="AB574" s="4"/>
      <c r="AC574" s="4"/>
      <c r="AD574" s="95"/>
    </row>
    <row r="575" spans="14:30">
      <c r="N575" s="7"/>
      <c r="P575" s="86"/>
      <c r="Q575" s="4"/>
      <c r="R575" s="4"/>
      <c r="S575" s="4"/>
      <c r="T575" s="4"/>
      <c r="U575" s="4"/>
      <c r="V575" s="4"/>
      <c r="X575" s="4"/>
      <c r="Y575" s="4"/>
      <c r="AA575" s="4"/>
      <c r="AB575" s="4"/>
      <c r="AC575" s="4"/>
      <c r="AD575" s="95"/>
    </row>
    <row r="576" spans="14:30">
      <c r="N576" s="7"/>
      <c r="P576" s="86"/>
      <c r="Q576" s="4"/>
      <c r="R576" s="4"/>
      <c r="S576" s="4"/>
      <c r="T576" s="4"/>
      <c r="U576" s="4"/>
      <c r="V576" s="4"/>
      <c r="X576" s="4"/>
      <c r="Y576" s="4"/>
      <c r="AA576" s="4"/>
      <c r="AB576" s="4"/>
      <c r="AC576" s="4"/>
      <c r="AD576" s="95"/>
    </row>
    <row r="577" spans="14:30">
      <c r="N577" s="7"/>
      <c r="P577" s="86"/>
      <c r="Q577" s="4"/>
      <c r="R577" s="4"/>
      <c r="S577" s="4"/>
      <c r="T577" s="4"/>
      <c r="U577" s="4"/>
      <c r="V577" s="4"/>
      <c r="X577" s="4"/>
      <c r="Y577" s="4"/>
      <c r="AA577" s="4"/>
      <c r="AB577" s="4"/>
      <c r="AC577" s="4"/>
      <c r="AD577" s="95"/>
    </row>
    <row r="578" spans="14:30">
      <c r="N578" s="7"/>
      <c r="P578" s="86"/>
      <c r="Q578" s="4"/>
      <c r="R578" s="4"/>
      <c r="S578" s="4"/>
      <c r="T578" s="4"/>
      <c r="U578" s="4"/>
      <c r="V578" s="4"/>
      <c r="X578" s="4"/>
      <c r="Y578" s="4"/>
      <c r="AA578" s="4"/>
      <c r="AB578" s="4"/>
      <c r="AC578" s="4"/>
      <c r="AD578" s="95"/>
    </row>
    <row r="579" spans="14:30">
      <c r="N579" s="7"/>
      <c r="P579" s="86"/>
      <c r="Q579" s="4"/>
      <c r="R579" s="4"/>
      <c r="S579" s="4"/>
      <c r="T579" s="4"/>
      <c r="U579" s="4"/>
      <c r="V579" s="4"/>
      <c r="X579" s="4"/>
      <c r="Y579" s="4"/>
      <c r="AA579" s="4"/>
      <c r="AB579" s="4"/>
      <c r="AC579" s="4"/>
      <c r="AD579" s="95"/>
    </row>
    <row r="580" spans="14:30">
      <c r="N580" s="7"/>
      <c r="P580" s="86"/>
      <c r="Q580" s="4"/>
      <c r="R580" s="4"/>
      <c r="S580" s="4"/>
      <c r="T580" s="4"/>
      <c r="U580" s="4"/>
      <c r="V580" s="4"/>
      <c r="X580" s="4"/>
      <c r="Y580" s="4"/>
      <c r="AA580" s="4"/>
      <c r="AB580" s="4"/>
      <c r="AC580" s="4"/>
      <c r="AD580" s="95"/>
    </row>
    <row r="581" spans="14:30">
      <c r="N581" s="7"/>
      <c r="P581" s="86"/>
      <c r="Q581" s="4"/>
      <c r="R581" s="4"/>
      <c r="S581" s="4"/>
      <c r="T581" s="4"/>
      <c r="U581" s="4"/>
      <c r="V581" s="4"/>
      <c r="X581" s="4"/>
      <c r="Y581" s="4"/>
      <c r="AA581" s="4"/>
      <c r="AB581" s="4"/>
      <c r="AC581" s="4"/>
      <c r="AD581" s="95"/>
    </row>
    <row r="582" spans="14:30">
      <c r="N582" s="7"/>
      <c r="P582" s="86"/>
      <c r="Q582" s="4"/>
      <c r="R582" s="4"/>
      <c r="S582" s="4"/>
      <c r="T582" s="4"/>
      <c r="U582" s="4"/>
      <c r="V582" s="4"/>
      <c r="X582" s="4"/>
      <c r="Y582" s="4"/>
      <c r="AA582" s="4"/>
      <c r="AB582" s="4"/>
      <c r="AC582" s="4"/>
      <c r="AD582" s="95"/>
    </row>
    <row r="583" spans="14:30">
      <c r="N583" s="7"/>
      <c r="P583" s="86"/>
      <c r="Q583" s="4"/>
      <c r="R583" s="4"/>
      <c r="S583" s="4"/>
      <c r="T583" s="4"/>
      <c r="U583" s="4"/>
      <c r="V583" s="4"/>
      <c r="X583" s="4"/>
      <c r="Y583" s="4"/>
      <c r="AA583" s="4"/>
      <c r="AB583" s="4"/>
      <c r="AC583" s="4"/>
      <c r="AD583" s="95"/>
    </row>
    <row r="584" spans="14:30">
      <c r="N584" s="7"/>
      <c r="P584" s="86"/>
      <c r="Q584" s="4"/>
      <c r="R584" s="4"/>
      <c r="S584" s="4"/>
      <c r="T584" s="4"/>
      <c r="U584" s="4"/>
      <c r="V584" s="4"/>
      <c r="X584" s="4"/>
      <c r="Y584" s="4"/>
      <c r="AA584" s="4"/>
      <c r="AB584" s="4"/>
      <c r="AC584" s="4"/>
      <c r="AD584" s="95"/>
    </row>
    <row r="585" spans="14:30">
      <c r="N585" s="7"/>
      <c r="P585" s="86"/>
      <c r="Q585" s="4"/>
      <c r="R585" s="4"/>
      <c r="S585" s="4"/>
      <c r="T585" s="4"/>
      <c r="U585" s="4"/>
      <c r="V585" s="4"/>
      <c r="X585" s="4"/>
      <c r="Y585" s="4"/>
      <c r="AA585" s="4"/>
      <c r="AB585" s="4"/>
      <c r="AC585" s="4"/>
      <c r="AD585" s="95"/>
    </row>
    <row r="586" spans="14:30">
      <c r="N586" s="7"/>
      <c r="P586" s="86"/>
      <c r="Q586" s="4"/>
      <c r="R586" s="4"/>
      <c r="S586" s="4"/>
      <c r="T586" s="4"/>
      <c r="U586" s="4"/>
      <c r="V586" s="4"/>
      <c r="X586" s="4"/>
      <c r="Y586" s="4"/>
      <c r="AA586" s="4"/>
      <c r="AB586" s="4"/>
      <c r="AC586" s="4"/>
      <c r="AD586" s="95"/>
    </row>
    <row r="587" spans="14:30">
      <c r="N587" s="7"/>
      <c r="P587" s="86"/>
      <c r="Q587" s="4"/>
      <c r="R587" s="4"/>
      <c r="S587" s="4"/>
      <c r="T587" s="4"/>
      <c r="U587" s="4"/>
      <c r="V587" s="4"/>
      <c r="X587" s="4"/>
      <c r="Y587" s="4"/>
      <c r="AA587" s="4"/>
      <c r="AB587" s="4"/>
      <c r="AC587" s="4"/>
      <c r="AD587" s="95"/>
    </row>
    <row r="588" spans="14:30">
      <c r="N588" s="7"/>
      <c r="P588" s="86"/>
      <c r="Q588" s="4"/>
      <c r="R588" s="4"/>
      <c r="S588" s="4"/>
      <c r="T588" s="4"/>
      <c r="U588" s="4"/>
      <c r="V588" s="4"/>
      <c r="X588" s="4"/>
      <c r="Y588" s="4"/>
      <c r="AA588" s="4"/>
      <c r="AB588" s="4"/>
      <c r="AC588" s="4"/>
      <c r="AD588" s="95"/>
    </row>
    <row r="589" spans="14:30">
      <c r="N589" s="7"/>
      <c r="P589" s="86"/>
      <c r="Q589" s="4"/>
      <c r="R589" s="4"/>
      <c r="S589" s="4"/>
      <c r="T589" s="4"/>
      <c r="U589" s="4"/>
      <c r="V589" s="4"/>
      <c r="X589" s="4"/>
      <c r="Y589" s="4"/>
      <c r="AA589" s="4"/>
      <c r="AB589" s="4"/>
      <c r="AC589" s="4"/>
      <c r="AD589" s="95"/>
    </row>
    <row r="590" spans="14:30">
      <c r="N590" s="7"/>
      <c r="P590" s="86"/>
      <c r="Q590" s="4"/>
      <c r="R590" s="4"/>
      <c r="S590" s="4"/>
      <c r="T590" s="4"/>
      <c r="U590" s="4"/>
      <c r="V590" s="4"/>
      <c r="X590" s="4"/>
      <c r="Y590" s="4"/>
      <c r="AA590" s="4"/>
      <c r="AB590" s="4"/>
      <c r="AC590" s="4"/>
      <c r="AD590" s="95"/>
    </row>
    <row r="591" spans="14:30">
      <c r="N591" s="7"/>
      <c r="P591" s="86"/>
      <c r="Q591" s="4"/>
      <c r="R591" s="4"/>
      <c r="S591" s="4"/>
      <c r="T591" s="4"/>
      <c r="U591" s="4"/>
      <c r="V591" s="4"/>
      <c r="X591" s="4"/>
      <c r="Y591" s="4"/>
      <c r="AA591" s="4"/>
      <c r="AB591" s="4"/>
      <c r="AC591" s="4"/>
      <c r="AD591" s="95"/>
    </row>
    <row r="592" spans="14:30">
      <c r="N592" s="7"/>
      <c r="P592" s="86"/>
      <c r="Q592" s="4"/>
      <c r="R592" s="4"/>
      <c r="S592" s="4"/>
      <c r="T592" s="4"/>
      <c r="U592" s="4"/>
      <c r="V592" s="4"/>
      <c r="X592" s="4"/>
      <c r="Y592" s="4"/>
      <c r="AA592" s="4"/>
      <c r="AB592" s="4"/>
      <c r="AC592" s="4"/>
      <c r="AD592" s="95"/>
    </row>
    <row r="593" spans="14:30">
      <c r="N593" s="7"/>
      <c r="P593" s="86"/>
      <c r="Q593" s="4"/>
      <c r="R593" s="4"/>
      <c r="S593" s="4"/>
      <c r="T593" s="4"/>
      <c r="U593" s="4"/>
      <c r="V593" s="4"/>
      <c r="X593" s="4"/>
      <c r="Y593" s="4"/>
      <c r="AA593" s="4"/>
      <c r="AB593" s="4"/>
      <c r="AC593" s="4"/>
      <c r="AD593" s="95"/>
    </row>
    <row r="594" spans="14:30">
      <c r="N594" s="7"/>
      <c r="P594" s="86"/>
      <c r="Q594" s="4"/>
      <c r="R594" s="4"/>
      <c r="S594" s="4"/>
      <c r="T594" s="4"/>
      <c r="U594" s="4"/>
      <c r="V594" s="4"/>
      <c r="X594" s="4"/>
      <c r="Y594" s="4"/>
      <c r="AA594" s="4"/>
      <c r="AB594" s="4"/>
      <c r="AC594" s="4"/>
      <c r="AD594" s="95"/>
    </row>
    <row r="595" spans="14:30">
      <c r="N595" s="7"/>
      <c r="P595" s="86"/>
      <c r="Q595" s="4"/>
      <c r="R595" s="4"/>
      <c r="S595" s="4"/>
      <c r="T595" s="4"/>
      <c r="U595" s="4"/>
      <c r="V595" s="4"/>
      <c r="X595" s="4"/>
      <c r="Y595" s="4"/>
      <c r="AA595" s="4"/>
      <c r="AB595" s="4"/>
      <c r="AC595" s="4"/>
      <c r="AD595" s="95"/>
    </row>
    <row r="596" spans="14:30">
      <c r="N596" s="7"/>
      <c r="P596" s="86"/>
      <c r="Q596" s="4"/>
      <c r="R596" s="4"/>
      <c r="S596" s="4"/>
      <c r="T596" s="4"/>
      <c r="U596" s="4"/>
      <c r="V596" s="4"/>
      <c r="X596" s="4"/>
      <c r="Y596" s="4"/>
      <c r="AA596" s="4"/>
      <c r="AB596" s="4"/>
      <c r="AC596" s="4"/>
      <c r="AD596" s="95"/>
    </row>
    <row r="597" spans="14:30">
      <c r="N597" s="7"/>
      <c r="P597" s="86"/>
      <c r="Q597" s="4"/>
      <c r="R597" s="4"/>
      <c r="S597" s="4"/>
      <c r="T597" s="4"/>
      <c r="U597" s="4"/>
      <c r="V597" s="4"/>
      <c r="X597" s="4"/>
      <c r="Y597" s="4"/>
      <c r="AA597" s="4"/>
      <c r="AB597" s="4"/>
      <c r="AC597" s="4"/>
      <c r="AD597" s="95"/>
    </row>
    <row r="598" spans="14:30">
      <c r="N598" s="7"/>
      <c r="P598" s="86"/>
      <c r="Q598" s="4"/>
      <c r="R598" s="4"/>
      <c r="S598" s="4"/>
      <c r="T598" s="4"/>
      <c r="U598" s="4"/>
      <c r="V598" s="4"/>
      <c r="X598" s="4"/>
      <c r="Y598" s="4"/>
      <c r="AA598" s="4"/>
      <c r="AB598" s="4"/>
      <c r="AC598" s="4"/>
      <c r="AD598" s="95"/>
    </row>
    <row r="599" spans="14:30">
      <c r="N599" s="7"/>
      <c r="P599" s="86"/>
      <c r="Q599" s="4"/>
      <c r="R599" s="4"/>
      <c r="S599" s="4"/>
      <c r="T599" s="4"/>
      <c r="U599" s="4"/>
      <c r="V599" s="4"/>
      <c r="X599" s="4"/>
      <c r="Y599" s="4"/>
      <c r="AA599" s="4"/>
      <c r="AB599" s="4"/>
      <c r="AC599" s="4"/>
      <c r="AD599" s="95"/>
    </row>
    <row r="600" spans="14:30">
      <c r="N600" s="7"/>
      <c r="P600" s="86"/>
      <c r="Q600" s="4"/>
      <c r="R600" s="4"/>
      <c r="S600" s="4"/>
      <c r="T600" s="4"/>
      <c r="U600" s="4"/>
      <c r="V600" s="4"/>
      <c r="X600" s="4"/>
      <c r="Y600" s="4"/>
      <c r="AA600" s="4"/>
      <c r="AB600" s="4"/>
      <c r="AC600" s="4"/>
      <c r="AD600" s="95"/>
    </row>
    <row r="601" spans="14:30">
      <c r="N601" s="7"/>
      <c r="P601" s="86"/>
      <c r="Q601" s="4"/>
      <c r="R601" s="4"/>
      <c r="S601" s="4"/>
      <c r="T601" s="4"/>
      <c r="U601" s="4"/>
      <c r="V601" s="4"/>
      <c r="X601" s="4"/>
      <c r="Y601" s="4"/>
      <c r="AA601" s="4"/>
      <c r="AB601" s="4"/>
      <c r="AC601" s="4"/>
      <c r="AD601" s="95"/>
    </row>
    <row r="602" spans="14:30">
      <c r="N602" s="7"/>
      <c r="P602" s="86"/>
      <c r="Q602" s="4"/>
      <c r="R602" s="4"/>
      <c r="S602" s="4"/>
      <c r="T602" s="4"/>
      <c r="U602" s="4"/>
      <c r="V602" s="4"/>
      <c r="X602" s="4"/>
      <c r="Y602" s="4"/>
      <c r="AA602" s="4"/>
      <c r="AB602" s="4"/>
      <c r="AC602" s="4"/>
      <c r="AD602" s="95"/>
    </row>
    <row r="603" spans="14:30">
      <c r="N603" s="7"/>
      <c r="P603" s="86"/>
      <c r="Q603" s="4"/>
      <c r="R603" s="4"/>
      <c r="S603" s="4"/>
      <c r="T603" s="4"/>
      <c r="U603" s="4"/>
      <c r="V603" s="4"/>
      <c r="X603" s="4"/>
      <c r="Y603" s="4"/>
      <c r="AA603" s="4"/>
      <c r="AB603" s="4"/>
      <c r="AC603" s="4"/>
      <c r="AD603" s="95"/>
    </row>
    <row r="604" spans="14:30">
      <c r="N604" s="7"/>
      <c r="P604" s="86"/>
      <c r="Q604" s="4"/>
      <c r="R604" s="4"/>
      <c r="S604" s="4"/>
      <c r="T604" s="4"/>
      <c r="U604" s="4"/>
      <c r="V604" s="4"/>
      <c r="X604" s="4"/>
      <c r="Y604" s="4"/>
      <c r="AA604" s="4"/>
      <c r="AB604" s="4"/>
      <c r="AC604" s="4"/>
      <c r="AD604" s="95"/>
    </row>
    <row r="605" spans="14:30">
      <c r="N605" s="7"/>
      <c r="P605" s="86"/>
      <c r="Q605" s="4"/>
      <c r="R605" s="4"/>
      <c r="S605" s="4"/>
      <c r="T605" s="4"/>
      <c r="U605" s="4"/>
      <c r="V605" s="4"/>
      <c r="X605" s="4"/>
      <c r="Y605" s="4"/>
      <c r="AA605" s="4"/>
      <c r="AB605" s="4"/>
      <c r="AC605" s="4"/>
      <c r="AD605" s="95"/>
    </row>
    <row r="606" spans="14:30">
      <c r="N606" s="7"/>
      <c r="P606" s="86"/>
      <c r="Q606" s="4"/>
      <c r="R606" s="4"/>
      <c r="S606" s="4"/>
      <c r="T606" s="4"/>
      <c r="U606" s="4"/>
      <c r="V606" s="4"/>
      <c r="X606" s="4"/>
      <c r="Y606" s="4"/>
      <c r="AA606" s="4"/>
      <c r="AB606" s="4"/>
      <c r="AC606" s="4"/>
      <c r="AD606" s="95"/>
    </row>
    <row r="607" spans="14:30">
      <c r="N607" s="7"/>
      <c r="P607" s="86"/>
      <c r="Q607" s="4"/>
      <c r="R607" s="4"/>
      <c r="S607" s="4"/>
      <c r="T607" s="4"/>
      <c r="U607" s="4"/>
      <c r="V607" s="4"/>
      <c r="X607" s="4"/>
      <c r="Y607" s="4"/>
      <c r="AA607" s="4"/>
      <c r="AB607" s="4"/>
      <c r="AC607" s="4"/>
      <c r="AD607" s="95"/>
    </row>
    <row r="608" spans="14:30">
      <c r="N608" s="7"/>
      <c r="P608" s="86"/>
      <c r="Q608" s="4"/>
      <c r="R608" s="4"/>
      <c r="S608" s="4"/>
      <c r="T608" s="4"/>
      <c r="U608" s="4"/>
      <c r="V608" s="4"/>
      <c r="X608" s="4"/>
      <c r="Y608" s="4"/>
      <c r="AA608" s="4"/>
      <c r="AB608" s="4"/>
      <c r="AC608" s="4"/>
      <c r="AD608" s="95"/>
    </row>
    <row r="609" spans="14:30">
      <c r="N609" s="7"/>
      <c r="P609" s="86"/>
      <c r="Q609" s="4"/>
      <c r="R609" s="4"/>
      <c r="S609" s="4"/>
      <c r="T609" s="4"/>
      <c r="U609" s="4"/>
      <c r="V609" s="4"/>
      <c r="X609" s="4"/>
      <c r="Y609" s="4"/>
      <c r="AA609" s="4"/>
      <c r="AB609" s="4"/>
      <c r="AC609" s="4"/>
      <c r="AD609" s="95"/>
    </row>
    <row r="610" spans="14:30">
      <c r="N610" s="7"/>
      <c r="P610" s="86"/>
      <c r="Q610" s="4"/>
      <c r="R610" s="4"/>
      <c r="S610" s="4"/>
      <c r="T610" s="4"/>
      <c r="U610" s="4"/>
      <c r="V610" s="4"/>
      <c r="X610" s="4"/>
      <c r="Y610" s="4"/>
      <c r="AA610" s="4"/>
      <c r="AB610" s="4"/>
      <c r="AC610" s="4"/>
      <c r="AD610" s="95"/>
    </row>
    <row r="611" spans="14:30">
      <c r="N611" s="7"/>
      <c r="P611" s="86"/>
      <c r="Q611" s="4"/>
      <c r="R611" s="4"/>
      <c r="S611" s="4"/>
      <c r="T611" s="4"/>
      <c r="U611" s="4"/>
      <c r="V611" s="4"/>
      <c r="X611" s="4"/>
      <c r="Y611" s="4"/>
      <c r="AA611" s="4"/>
      <c r="AB611" s="4"/>
      <c r="AC611" s="4"/>
      <c r="AD611" s="95"/>
    </row>
    <row r="612" spans="14:30">
      <c r="N612" s="7"/>
      <c r="P612" s="86"/>
      <c r="Q612" s="4"/>
      <c r="R612" s="4"/>
      <c r="S612" s="4"/>
      <c r="T612" s="4"/>
      <c r="U612" s="4"/>
      <c r="V612" s="4"/>
      <c r="X612" s="4"/>
      <c r="Y612" s="4"/>
      <c r="AA612" s="4"/>
      <c r="AB612" s="4"/>
      <c r="AC612" s="4"/>
      <c r="AD612" s="95"/>
    </row>
    <row r="613" spans="14:30">
      <c r="N613" s="7"/>
      <c r="P613" s="86"/>
      <c r="Q613" s="4"/>
      <c r="R613" s="4"/>
      <c r="S613" s="4"/>
      <c r="T613" s="4"/>
      <c r="U613" s="4"/>
      <c r="V613" s="4"/>
      <c r="X613" s="4"/>
      <c r="Y613" s="4"/>
      <c r="AA613" s="4"/>
      <c r="AB613" s="4"/>
      <c r="AC613" s="4"/>
      <c r="AD613" s="95"/>
    </row>
    <row r="614" spans="14:30">
      <c r="N614" s="7"/>
      <c r="P614" s="86"/>
      <c r="Q614" s="4"/>
      <c r="R614" s="4"/>
      <c r="S614" s="4"/>
      <c r="T614" s="4"/>
      <c r="U614" s="4"/>
      <c r="V614" s="4"/>
      <c r="X614" s="4"/>
      <c r="Y614" s="4"/>
      <c r="AA614" s="4"/>
      <c r="AB614" s="4"/>
      <c r="AC614" s="4"/>
      <c r="AD614" s="95"/>
    </row>
    <row r="615" spans="14:30">
      <c r="N615" s="7"/>
      <c r="P615" s="86"/>
      <c r="Q615" s="4"/>
      <c r="R615" s="4"/>
      <c r="S615" s="4"/>
      <c r="T615" s="4"/>
      <c r="U615" s="4"/>
      <c r="V615" s="4"/>
      <c r="X615" s="4"/>
      <c r="Y615" s="4"/>
      <c r="AA615" s="4"/>
      <c r="AB615" s="4"/>
      <c r="AC615" s="4"/>
      <c r="AD615" s="95"/>
    </row>
    <row r="616" spans="14:30">
      <c r="N616" s="7"/>
      <c r="P616" s="86"/>
      <c r="Q616" s="4"/>
      <c r="R616" s="4"/>
      <c r="S616" s="4"/>
      <c r="T616" s="4"/>
      <c r="U616" s="4"/>
      <c r="V616" s="4"/>
      <c r="X616" s="4"/>
      <c r="Y616" s="4"/>
      <c r="AA616" s="4"/>
      <c r="AB616" s="4"/>
      <c r="AC616" s="4"/>
      <c r="AD616" s="95"/>
    </row>
    <row r="617" spans="14:30">
      <c r="N617" s="7"/>
      <c r="P617" s="86"/>
      <c r="Q617" s="4"/>
      <c r="R617" s="4"/>
      <c r="S617" s="4"/>
      <c r="T617" s="4"/>
      <c r="U617" s="4"/>
      <c r="V617" s="4"/>
      <c r="X617" s="4"/>
      <c r="Y617" s="4"/>
      <c r="AA617" s="4"/>
      <c r="AB617" s="4"/>
      <c r="AC617" s="4"/>
      <c r="AD617" s="95"/>
    </row>
    <row r="618" spans="14:30">
      <c r="N618" s="7"/>
      <c r="P618" s="86"/>
      <c r="Q618" s="4"/>
      <c r="R618" s="4"/>
      <c r="S618" s="4"/>
      <c r="T618" s="4"/>
      <c r="U618" s="4"/>
      <c r="V618" s="4"/>
      <c r="X618" s="4"/>
      <c r="Y618" s="4"/>
      <c r="AA618" s="4"/>
      <c r="AB618" s="4"/>
      <c r="AC618" s="4"/>
      <c r="AD618" s="95"/>
    </row>
    <row r="619" spans="14:30">
      <c r="N619" s="7"/>
      <c r="P619" s="86"/>
      <c r="Q619" s="4"/>
      <c r="R619" s="4"/>
      <c r="S619" s="4"/>
      <c r="T619" s="4"/>
      <c r="U619" s="4"/>
      <c r="V619" s="4"/>
      <c r="X619" s="4"/>
      <c r="Y619" s="4"/>
      <c r="AA619" s="4"/>
      <c r="AB619" s="4"/>
      <c r="AC619" s="4"/>
      <c r="AD619" s="95"/>
    </row>
    <row r="620" spans="14:30">
      <c r="N620" s="7"/>
      <c r="P620" s="86"/>
      <c r="Q620" s="4"/>
      <c r="R620" s="4"/>
      <c r="S620" s="4"/>
      <c r="T620" s="4"/>
      <c r="U620" s="4"/>
      <c r="V620" s="4"/>
      <c r="X620" s="4"/>
      <c r="Y620" s="4"/>
      <c r="AA620" s="4"/>
      <c r="AB620" s="4"/>
      <c r="AC620" s="4"/>
      <c r="AD620" s="95"/>
    </row>
    <row r="621" spans="14:30">
      <c r="N621" s="7"/>
      <c r="P621" s="86"/>
      <c r="Q621" s="4"/>
      <c r="R621" s="4"/>
      <c r="S621" s="4"/>
      <c r="T621" s="4"/>
      <c r="U621" s="4"/>
      <c r="V621" s="4"/>
      <c r="X621" s="4"/>
      <c r="Y621" s="4"/>
      <c r="AA621" s="4"/>
      <c r="AB621" s="4"/>
      <c r="AC621" s="4"/>
      <c r="AD621" s="95"/>
    </row>
    <row r="622" spans="14:30">
      <c r="N622" s="7"/>
      <c r="P622" s="86"/>
      <c r="Q622" s="4"/>
      <c r="R622" s="4"/>
      <c r="S622" s="4"/>
      <c r="T622" s="4"/>
      <c r="U622" s="4"/>
      <c r="V622" s="4"/>
      <c r="X622" s="4"/>
      <c r="Y622" s="4"/>
      <c r="AA622" s="4"/>
      <c r="AB622" s="4"/>
      <c r="AC622" s="4"/>
      <c r="AD622" s="95"/>
    </row>
    <row r="623" spans="14:30">
      <c r="N623" s="7"/>
      <c r="P623" s="86"/>
      <c r="Q623" s="4"/>
      <c r="R623" s="4"/>
      <c r="S623" s="4"/>
      <c r="T623" s="4"/>
      <c r="U623" s="4"/>
      <c r="V623" s="4"/>
      <c r="X623" s="4"/>
      <c r="Y623" s="4"/>
      <c r="AA623" s="4"/>
      <c r="AB623" s="4"/>
      <c r="AC623" s="4"/>
      <c r="AD623" s="95"/>
    </row>
    <row r="624" spans="14:30">
      <c r="N624" s="7"/>
      <c r="P624" s="86"/>
      <c r="Q624" s="4"/>
      <c r="R624" s="4"/>
      <c r="S624" s="4"/>
      <c r="T624" s="4"/>
      <c r="U624" s="4"/>
      <c r="V624" s="4"/>
      <c r="X624" s="4"/>
      <c r="Y624" s="4"/>
      <c r="AA624" s="4"/>
      <c r="AB624" s="4"/>
      <c r="AC624" s="4"/>
      <c r="AD624" s="95"/>
    </row>
    <row r="625" spans="14:30">
      <c r="N625" s="7"/>
      <c r="P625" s="86"/>
      <c r="Q625" s="4"/>
      <c r="R625" s="4"/>
      <c r="S625" s="4"/>
      <c r="T625" s="4"/>
      <c r="U625" s="4"/>
      <c r="V625" s="4"/>
      <c r="X625" s="4"/>
      <c r="Y625" s="4"/>
      <c r="AA625" s="4"/>
      <c r="AB625" s="4"/>
      <c r="AC625" s="4"/>
      <c r="AD625" s="95"/>
    </row>
    <row r="626" spans="14:30">
      <c r="N626" s="7"/>
      <c r="P626" s="86"/>
      <c r="Q626" s="4"/>
      <c r="R626" s="4"/>
      <c r="S626" s="4"/>
      <c r="T626" s="4"/>
      <c r="U626" s="4"/>
      <c r="V626" s="4"/>
      <c r="X626" s="4"/>
      <c r="Y626" s="4"/>
      <c r="AA626" s="4"/>
      <c r="AB626" s="4"/>
      <c r="AC626" s="4"/>
      <c r="AD626" s="95"/>
    </row>
    <row r="627" spans="14:30">
      <c r="N627" s="7"/>
      <c r="P627" s="86"/>
      <c r="Q627" s="4"/>
      <c r="R627" s="4"/>
      <c r="S627" s="4"/>
      <c r="T627" s="4"/>
      <c r="U627" s="4"/>
      <c r="V627" s="4"/>
      <c r="X627" s="4"/>
      <c r="Y627" s="4"/>
      <c r="AA627" s="4"/>
      <c r="AB627" s="4"/>
      <c r="AC627" s="4"/>
      <c r="AD627" s="95"/>
    </row>
    <row r="628" spans="14:30">
      <c r="N628" s="7"/>
      <c r="P628" s="86"/>
      <c r="Q628" s="4"/>
      <c r="R628" s="4"/>
      <c r="S628" s="4"/>
      <c r="T628" s="4"/>
      <c r="U628" s="4"/>
      <c r="V628" s="4"/>
      <c r="X628" s="4"/>
      <c r="Y628" s="4"/>
      <c r="AA628" s="4"/>
      <c r="AB628" s="4"/>
      <c r="AC628" s="4"/>
      <c r="AD628" s="95"/>
    </row>
    <row r="629" spans="14:30">
      <c r="N629" s="7"/>
      <c r="P629" s="86"/>
      <c r="Q629" s="4"/>
      <c r="R629" s="4"/>
      <c r="S629" s="4"/>
      <c r="T629" s="4"/>
      <c r="U629" s="4"/>
      <c r="V629" s="4"/>
      <c r="X629" s="4"/>
      <c r="Y629" s="4"/>
      <c r="AA629" s="4"/>
      <c r="AB629" s="4"/>
      <c r="AC629" s="4"/>
      <c r="AD629" s="95"/>
    </row>
    <row r="630" spans="14:30">
      <c r="N630" s="7"/>
      <c r="P630" s="86"/>
      <c r="Q630" s="4"/>
      <c r="R630" s="4"/>
      <c r="S630" s="4"/>
      <c r="T630" s="4"/>
      <c r="U630" s="4"/>
      <c r="V630" s="4"/>
      <c r="X630" s="4"/>
      <c r="Y630" s="4"/>
      <c r="AA630" s="4"/>
      <c r="AB630" s="4"/>
      <c r="AC630" s="4"/>
      <c r="AD630" s="95"/>
    </row>
    <row r="631" spans="14:30">
      <c r="N631" s="7"/>
      <c r="P631" s="86"/>
      <c r="Q631" s="4"/>
      <c r="R631" s="4"/>
      <c r="S631" s="4"/>
      <c r="T631" s="4"/>
      <c r="U631" s="4"/>
      <c r="V631" s="4"/>
      <c r="X631" s="4"/>
      <c r="Y631" s="4"/>
      <c r="AA631" s="4"/>
      <c r="AB631" s="4"/>
      <c r="AC631" s="4"/>
      <c r="AD631" s="95"/>
    </row>
    <row r="632" spans="14:30">
      <c r="N632" s="7"/>
      <c r="P632" s="86"/>
      <c r="Q632" s="4"/>
      <c r="R632" s="4"/>
      <c r="S632" s="4"/>
      <c r="T632" s="4"/>
      <c r="U632" s="4"/>
      <c r="V632" s="4"/>
      <c r="X632" s="4"/>
      <c r="Y632" s="4"/>
      <c r="AA632" s="4"/>
      <c r="AB632" s="4"/>
      <c r="AC632" s="4"/>
      <c r="AD632" s="95"/>
    </row>
    <row r="633" spans="14:30">
      <c r="N633" s="7"/>
      <c r="P633" s="86"/>
      <c r="Q633" s="4"/>
      <c r="R633" s="4"/>
      <c r="S633" s="4"/>
      <c r="T633" s="4"/>
      <c r="U633" s="4"/>
      <c r="V633" s="4"/>
      <c r="X633" s="4"/>
      <c r="Y633" s="4"/>
      <c r="AA633" s="4"/>
      <c r="AB633" s="4"/>
      <c r="AC633" s="4"/>
      <c r="AD633" s="95"/>
    </row>
    <row r="634" spans="14:30">
      <c r="N634" s="7"/>
      <c r="P634" s="86"/>
      <c r="Q634" s="4"/>
      <c r="R634" s="4"/>
      <c r="S634" s="4"/>
      <c r="T634" s="4"/>
      <c r="U634" s="4"/>
      <c r="V634" s="4"/>
      <c r="X634" s="4"/>
      <c r="Y634" s="4"/>
      <c r="AA634" s="4"/>
      <c r="AB634" s="4"/>
      <c r="AC634" s="4"/>
      <c r="AD634" s="95"/>
    </row>
    <row r="635" spans="14:30">
      <c r="N635" s="7"/>
      <c r="P635" s="86"/>
      <c r="Q635" s="4"/>
      <c r="R635" s="4"/>
      <c r="S635" s="4"/>
      <c r="T635" s="4"/>
      <c r="U635" s="4"/>
      <c r="V635" s="4"/>
      <c r="X635" s="4"/>
      <c r="Y635" s="4"/>
      <c r="AA635" s="4"/>
      <c r="AB635" s="4"/>
      <c r="AC635" s="4"/>
      <c r="AD635" s="95"/>
    </row>
    <row r="636" spans="14:30">
      <c r="N636" s="7"/>
      <c r="P636" s="86"/>
      <c r="Q636" s="4"/>
      <c r="R636" s="4"/>
      <c r="S636" s="4"/>
      <c r="T636" s="4"/>
      <c r="U636" s="4"/>
      <c r="V636" s="4"/>
      <c r="X636" s="4"/>
      <c r="Y636" s="4"/>
      <c r="AA636" s="4"/>
      <c r="AB636" s="4"/>
      <c r="AC636" s="4"/>
      <c r="AD636" s="95"/>
    </row>
    <row r="637" spans="14:30">
      <c r="N637" s="7"/>
      <c r="P637" s="86"/>
      <c r="Q637" s="4"/>
      <c r="R637" s="4"/>
      <c r="S637" s="4"/>
      <c r="T637" s="4"/>
      <c r="U637" s="4"/>
      <c r="V637" s="4"/>
      <c r="X637" s="4"/>
      <c r="Y637" s="4"/>
      <c r="AA637" s="4"/>
      <c r="AB637" s="4"/>
      <c r="AC637" s="4"/>
      <c r="AD637" s="95"/>
    </row>
    <row r="638" spans="14:30">
      <c r="N638" s="7"/>
      <c r="P638" s="86"/>
      <c r="Q638" s="4"/>
      <c r="R638" s="4"/>
      <c r="S638" s="4"/>
      <c r="T638" s="4"/>
      <c r="U638" s="4"/>
      <c r="V638" s="4"/>
      <c r="X638" s="4"/>
      <c r="Y638" s="4"/>
      <c r="AA638" s="4"/>
      <c r="AB638" s="4"/>
      <c r="AC638" s="4"/>
      <c r="AD638" s="95"/>
    </row>
    <row r="639" spans="14:30">
      <c r="N639" s="7"/>
      <c r="P639" s="86"/>
      <c r="Q639" s="4"/>
      <c r="R639" s="4"/>
      <c r="S639" s="4"/>
      <c r="T639" s="4"/>
      <c r="U639" s="4"/>
      <c r="V639" s="4"/>
      <c r="X639" s="4"/>
      <c r="Y639" s="4"/>
      <c r="AA639" s="4"/>
      <c r="AB639" s="4"/>
      <c r="AC639" s="4"/>
      <c r="AD639" s="95"/>
    </row>
    <row r="640" spans="14:30">
      <c r="N640" s="7"/>
      <c r="P640" s="86"/>
      <c r="Q640" s="4"/>
      <c r="R640" s="4"/>
      <c r="S640" s="4"/>
      <c r="T640" s="4"/>
      <c r="U640" s="4"/>
      <c r="V640" s="4"/>
      <c r="X640" s="4"/>
      <c r="Y640" s="4"/>
      <c r="AA640" s="4"/>
      <c r="AB640" s="4"/>
      <c r="AC640" s="4"/>
      <c r="AD640" s="95"/>
    </row>
    <row r="641" spans="14:30">
      <c r="N641" s="7"/>
      <c r="P641" s="86"/>
      <c r="Q641" s="4"/>
      <c r="R641" s="4"/>
      <c r="S641" s="4"/>
      <c r="T641" s="4"/>
      <c r="U641" s="4"/>
      <c r="V641" s="4"/>
      <c r="X641" s="4"/>
      <c r="Y641" s="4"/>
      <c r="AA641" s="4"/>
      <c r="AB641" s="4"/>
      <c r="AC641" s="4"/>
      <c r="AD641" s="95"/>
    </row>
    <row r="642" spans="14:30">
      <c r="N642" s="7"/>
      <c r="P642" s="86"/>
      <c r="Q642" s="4"/>
      <c r="R642" s="4"/>
      <c r="S642" s="4"/>
      <c r="T642" s="4"/>
      <c r="U642" s="4"/>
      <c r="V642" s="4"/>
      <c r="X642" s="4"/>
      <c r="Y642" s="4"/>
      <c r="AA642" s="4"/>
      <c r="AB642" s="4"/>
      <c r="AC642" s="4"/>
      <c r="AD642" s="95"/>
    </row>
    <row r="643" spans="14:30">
      <c r="N643" s="7"/>
      <c r="P643" s="86"/>
      <c r="Q643" s="4"/>
      <c r="R643" s="4"/>
      <c r="S643" s="4"/>
      <c r="T643" s="4"/>
      <c r="U643" s="4"/>
      <c r="V643" s="4"/>
      <c r="X643" s="4"/>
      <c r="Y643" s="4"/>
      <c r="AA643" s="4"/>
      <c r="AB643" s="4"/>
      <c r="AC643" s="4"/>
      <c r="AD643" s="95"/>
    </row>
    <row r="644" spans="14:30">
      <c r="N644" s="7"/>
      <c r="P644" s="86"/>
      <c r="Q644" s="4"/>
      <c r="R644" s="4"/>
      <c r="S644" s="4"/>
      <c r="T644" s="4"/>
      <c r="U644" s="4"/>
      <c r="V644" s="4"/>
      <c r="X644" s="4"/>
      <c r="Y644" s="4"/>
      <c r="AA644" s="4"/>
      <c r="AB644" s="4"/>
      <c r="AC644" s="4"/>
      <c r="AD644" s="95"/>
    </row>
    <row r="645" spans="14:30">
      <c r="N645" s="7"/>
      <c r="P645" s="86"/>
      <c r="Q645" s="4"/>
      <c r="R645" s="4"/>
      <c r="S645" s="4"/>
      <c r="T645" s="4"/>
      <c r="U645" s="4"/>
      <c r="V645" s="4"/>
      <c r="X645" s="4"/>
      <c r="Y645" s="4"/>
      <c r="AA645" s="4"/>
      <c r="AB645" s="4"/>
      <c r="AC645" s="4"/>
      <c r="AD645" s="95"/>
    </row>
    <row r="646" spans="14:30">
      <c r="N646" s="7"/>
      <c r="P646" s="86"/>
      <c r="Q646" s="4"/>
      <c r="R646" s="4"/>
      <c r="S646" s="4"/>
      <c r="T646" s="4"/>
      <c r="U646" s="4"/>
      <c r="V646" s="4"/>
      <c r="X646" s="4"/>
      <c r="Y646" s="4"/>
      <c r="AA646" s="4"/>
      <c r="AB646" s="4"/>
      <c r="AC646" s="4"/>
      <c r="AD646" s="95"/>
    </row>
    <row r="647" spans="14:30">
      <c r="N647" s="7"/>
      <c r="P647" s="86"/>
      <c r="Q647" s="4"/>
      <c r="R647" s="4"/>
      <c r="S647" s="4"/>
      <c r="T647" s="4"/>
      <c r="U647" s="4"/>
      <c r="V647" s="4"/>
      <c r="X647" s="4"/>
      <c r="Y647" s="4"/>
      <c r="AA647" s="4"/>
      <c r="AB647" s="4"/>
      <c r="AC647" s="4"/>
      <c r="AD647" s="95"/>
    </row>
    <row r="648" spans="14:30">
      <c r="N648" s="7"/>
      <c r="P648" s="86"/>
      <c r="Q648" s="4"/>
      <c r="R648" s="4"/>
      <c r="S648" s="4"/>
      <c r="T648" s="4"/>
      <c r="U648" s="4"/>
      <c r="V648" s="4"/>
      <c r="X648" s="4"/>
      <c r="Y648" s="4"/>
      <c r="AA648" s="4"/>
      <c r="AB648" s="4"/>
      <c r="AC648" s="4"/>
      <c r="AD648" s="95"/>
    </row>
    <row r="649" spans="14:30">
      <c r="N649" s="7"/>
      <c r="P649" s="86"/>
      <c r="Q649" s="4"/>
      <c r="R649" s="4"/>
      <c r="S649" s="4"/>
      <c r="T649" s="4"/>
      <c r="U649" s="4"/>
      <c r="V649" s="4"/>
      <c r="X649" s="4"/>
      <c r="Y649" s="4"/>
      <c r="AA649" s="4"/>
      <c r="AB649" s="4"/>
      <c r="AC649" s="4"/>
      <c r="AD649" s="95"/>
    </row>
    <row r="650" spans="14:30">
      <c r="N650" s="7"/>
      <c r="P650" s="86"/>
      <c r="Q650" s="4"/>
      <c r="R650" s="4"/>
      <c r="S650" s="4"/>
      <c r="T650" s="4"/>
      <c r="U650" s="4"/>
      <c r="V650" s="4"/>
      <c r="X650" s="4"/>
      <c r="Y650" s="4"/>
      <c r="AA650" s="4"/>
      <c r="AB650" s="4"/>
      <c r="AC650" s="4"/>
      <c r="AD650" s="95"/>
    </row>
    <row r="651" spans="14:30">
      <c r="N651" s="7"/>
      <c r="P651" s="86"/>
      <c r="Q651" s="4"/>
      <c r="R651" s="4"/>
      <c r="S651" s="4"/>
      <c r="T651" s="4"/>
      <c r="U651" s="4"/>
      <c r="V651" s="4"/>
      <c r="X651" s="4"/>
      <c r="Y651" s="4"/>
      <c r="AA651" s="4"/>
      <c r="AB651" s="4"/>
      <c r="AC651" s="4"/>
      <c r="AD651" s="95"/>
    </row>
    <row r="652" spans="14:30">
      <c r="N652" s="7"/>
      <c r="P652" s="86"/>
      <c r="Q652" s="4"/>
      <c r="R652" s="4"/>
      <c r="S652" s="4"/>
      <c r="T652" s="4"/>
      <c r="U652" s="4"/>
      <c r="V652" s="4"/>
      <c r="X652" s="4"/>
      <c r="Y652" s="4"/>
      <c r="AA652" s="4"/>
      <c r="AB652" s="4"/>
      <c r="AC652" s="4"/>
      <c r="AD652" s="95"/>
    </row>
    <row r="653" spans="14:30">
      <c r="N653" s="7"/>
      <c r="P653" s="86"/>
      <c r="Q653" s="4"/>
      <c r="R653" s="4"/>
      <c r="S653" s="4"/>
      <c r="T653" s="4"/>
      <c r="U653" s="4"/>
      <c r="V653" s="4"/>
      <c r="X653" s="4"/>
      <c r="Y653" s="4"/>
      <c r="AA653" s="4"/>
      <c r="AB653" s="4"/>
      <c r="AC653" s="4"/>
      <c r="AD653" s="95"/>
    </row>
    <row r="654" spans="14:30">
      <c r="N654" s="7"/>
      <c r="P654" s="86"/>
      <c r="Q654" s="4"/>
      <c r="R654" s="4"/>
      <c r="S654" s="4"/>
      <c r="T654" s="4"/>
      <c r="U654" s="4"/>
      <c r="V654" s="4"/>
      <c r="X654" s="4"/>
      <c r="Y654" s="4"/>
      <c r="AA654" s="4"/>
      <c r="AB654" s="4"/>
      <c r="AC654" s="4"/>
      <c r="AD654" s="95"/>
    </row>
    <row r="655" spans="14:30">
      <c r="N655" s="7"/>
      <c r="P655" s="86"/>
      <c r="Q655" s="4"/>
      <c r="R655" s="4"/>
      <c r="S655" s="4"/>
      <c r="T655" s="4"/>
      <c r="U655" s="4"/>
      <c r="V655" s="4"/>
      <c r="X655" s="4"/>
      <c r="Y655" s="4"/>
      <c r="AA655" s="4"/>
      <c r="AB655" s="4"/>
      <c r="AC655" s="4"/>
      <c r="AD655" s="95"/>
    </row>
    <row r="656" spans="14:30">
      <c r="N656" s="7"/>
      <c r="P656" s="86"/>
      <c r="Q656" s="4"/>
      <c r="R656" s="4"/>
      <c r="S656" s="4"/>
      <c r="T656" s="4"/>
      <c r="U656" s="4"/>
      <c r="V656" s="4"/>
      <c r="X656" s="4"/>
      <c r="Y656" s="4"/>
      <c r="AA656" s="4"/>
      <c r="AB656" s="4"/>
      <c r="AC656" s="4"/>
      <c r="AD656" s="95"/>
    </row>
    <row r="657" spans="14:30">
      <c r="N657" s="7"/>
      <c r="P657" s="86"/>
      <c r="Q657" s="4"/>
      <c r="R657" s="4"/>
      <c r="S657" s="4"/>
      <c r="T657" s="4"/>
      <c r="U657" s="4"/>
      <c r="V657" s="4"/>
      <c r="X657" s="4"/>
      <c r="Y657" s="4"/>
      <c r="AA657" s="4"/>
      <c r="AB657" s="4"/>
      <c r="AC657" s="4"/>
      <c r="AD657" s="95"/>
    </row>
    <row r="658" spans="14:30">
      <c r="N658" s="7"/>
      <c r="P658" s="86"/>
      <c r="Q658" s="4"/>
      <c r="R658" s="4"/>
      <c r="S658" s="4"/>
      <c r="T658" s="4"/>
      <c r="U658" s="4"/>
      <c r="V658" s="4"/>
      <c r="X658" s="4"/>
      <c r="Y658" s="4"/>
      <c r="AA658" s="4"/>
      <c r="AB658" s="4"/>
      <c r="AC658" s="4"/>
      <c r="AD658" s="95"/>
    </row>
    <row r="659" spans="14:30">
      <c r="N659" s="7"/>
      <c r="P659" s="86"/>
      <c r="Q659" s="4"/>
      <c r="R659" s="4"/>
      <c r="S659" s="4"/>
      <c r="T659" s="4"/>
      <c r="U659" s="4"/>
      <c r="V659" s="4"/>
      <c r="X659" s="4"/>
      <c r="Y659" s="4"/>
      <c r="AA659" s="4"/>
      <c r="AB659" s="4"/>
      <c r="AC659" s="4"/>
      <c r="AD659" s="95"/>
    </row>
    <row r="660" spans="14:30">
      <c r="N660" s="7"/>
      <c r="P660" s="86"/>
      <c r="Q660" s="4"/>
      <c r="R660" s="4"/>
      <c r="S660" s="4"/>
      <c r="T660" s="4"/>
      <c r="U660" s="4"/>
      <c r="V660" s="4"/>
      <c r="X660" s="4"/>
      <c r="Y660" s="4"/>
      <c r="AA660" s="4"/>
      <c r="AB660" s="4"/>
      <c r="AC660" s="4"/>
      <c r="AD660" s="95"/>
    </row>
    <row r="661" spans="14:30">
      <c r="N661" s="7"/>
      <c r="P661" s="86"/>
      <c r="Q661" s="4"/>
      <c r="R661" s="4"/>
      <c r="S661" s="4"/>
      <c r="T661" s="4"/>
      <c r="U661" s="4"/>
      <c r="V661" s="4"/>
      <c r="X661" s="4"/>
      <c r="Y661" s="4"/>
      <c r="AA661" s="4"/>
      <c r="AB661" s="4"/>
      <c r="AC661" s="4"/>
      <c r="AD661" s="95"/>
    </row>
    <row r="662" spans="14:30">
      <c r="N662" s="7"/>
      <c r="P662" s="86"/>
      <c r="Q662" s="4"/>
      <c r="R662" s="4"/>
      <c r="S662" s="4"/>
      <c r="T662" s="4"/>
      <c r="U662" s="4"/>
      <c r="V662" s="4"/>
      <c r="X662" s="4"/>
      <c r="Y662" s="4"/>
      <c r="AA662" s="4"/>
      <c r="AB662" s="4"/>
      <c r="AC662" s="4"/>
      <c r="AD662" s="95"/>
    </row>
    <row r="663" spans="14:30">
      <c r="N663" s="7"/>
      <c r="P663" s="86"/>
      <c r="Q663" s="4"/>
      <c r="R663" s="4"/>
      <c r="S663" s="4"/>
      <c r="T663" s="4"/>
      <c r="U663" s="4"/>
      <c r="V663" s="4"/>
      <c r="X663" s="4"/>
      <c r="Y663" s="4"/>
      <c r="AA663" s="4"/>
      <c r="AB663" s="4"/>
      <c r="AC663" s="4"/>
      <c r="AD663" s="95"/>
    </row>
    <row r="664" spans="14:30">
      <c r="N664" s="7"/>
      <c r="P664" s="86"/>
      <c r="Q664" s="4"/>
      <c r="R664" s="4"/>
      <c r="S664" s="4"/>
      <c r="T664" s="4"/>
      <c r="U664" s="4"/>
      <c r="V664" s="4"/>
      <c r="X664" s="4"/>
      <c r="Y664" s="4"/>
      <c r="AA664" s="4"/>
      <c r="AB664" s="4"/>
      <c r="AC664" s="4"/>
      <c r="AD664" s="95"/>
    </row>
    <row r="665" spans="14:30">
      <c r="N665" s="7"/>
      <c r="P665" s="86"/>
      <c r="Q665" s="4"/>
      <c r="R665" s="4"/>
      <c r="S665" s="4"/>
      <c r="T665" s="4"/>
      <c r="U665" s="4"/>
      <c r="V665" s="4"/>
      <c r="X665" s="4"/>
      <c r="Y665" s="4"/>
      <c r="AA665" s="4"/>
      <c r="AB665" s="4"/>
      <c r="AC665" s="4"/>
      <c r="AD665" s="95"/>
    </row>
    <row r="666" spans="14:30">
      <c r="N666" s="7"/>
      <c r="P666" s="86"/>
      <c r="Q666" s="4"/>
      <c r="R666" s="4"/>
      <c r="S666" s="4"/>
      <c r="T666" s="4"/>
      <c r="U666" s="4"/>
      <c r="V666" s="4"/>
      <c r="X666" s="4"/>
      <c r="Y666" s="4"/>
      <c r="AA666" s="4"/>
      <c r="AB666" s="4"/>
      <c r="AC666" s="4"/>
      <c r="AD666" s="95"/>
    </row>
    <row r="667" spans="14:30">
      <c r="N667" s="7"/>
      <c r="P667" s="86"/>
      <c r="Q667" s="4"/>
      <c r="R667" s="4"/>
      <c r="S667" s="4"/>
      <c r="T667" s="4"/>
      <c r="U667" s="4"/>
      <c r="V667" s="4"/>
      <c r="X667" s="4"/>
      <c r="Y667" s="4"/>
      <c r="AA667" s="4"/>
      <c r="AB667" s="4"/>
      <c r="AC667" s="4"/>
      <c r="AD667" s="95"/>
    </row>
    <row r="668" spans="14:30">
      <c r="N668" s="7"/>
      <c r="P668" s="86"/>
      <c r="Q668" s="4"/>
      <c r="R668" s="4"/>
      <c r="S668" s="4"/>
      <c r="T668" s="4"/>
      <c r="U668" s="4"/>
      <c r="V668" s="4"/>
      <c r="X668" s="4"/>
      <c r="Y668" s="4"/>
      <c r="AA668" s="4"/>
      <c r="AB668" s="4"/>
      <c r="AC668" s="4"/>
      <c r="AD668" s="95"/>
    </row>
    <row r="669" spans="14:30">
      <c r="N669" s="7"/>
      <c r="P669" s="86"/>
      <c r="Q669" s="4"/>
      <c r="R669" s="4"/>
      <c r="S669" s="4"/>
      <c r="T669" s="4"/>
      <c r="U669" s="4"/>
      <c r="V669" s="4"/>
      <c r="X669" s="4"/>
      <c r="Y669" s="4"/>
      <c r="AA669" s="4"/>
      <c r="AB669" s="4"/>
      <c r="AC669" s="4"/>
      <c r="AD669" s="95"/>
    </row>
    <row r="670" spans="14:30">
      <c r="N670" s="7"/>
      <c r="P670" s="86"/>
      <c r="Q670" s="4"/>
      <c r="R670" s="4"/>
      <c r="S670" s="4"/>
      <c r="T670" s="4"/>
      <c r="U670" s="4"/>
      <c r="V670" s="4"/>
      <c r="X670" s="4"/>
      <c r="Y670" s="4"/>
      <c r="AA670" s="4"/>
      <c r="AB670" s="4"/>
      <c r="AC670" s="4"/>
      <c r="AD670" s="95"/>
    </row>
    <row r="671" spans="14:30">
      <c r="N671" s="7"/>
      <c r="P671" s="86"/>
      <c r="Q671" s="4"/>
      <c r="R671" s="4"/>
      <c r="S671" s="4"/>
      <c r="T671" s="4"/>
      <c r="U671" s="4"/>
      <c r="V671" s="4"/>
      <c r="X671" s="4"/>
      <c r="Y671" s="4"/>
      <c r="AA671" s="4"/>
      <c r="AB671" s="4"/>
      <c r="AC671" s="4"/>
      <c r="AD671" s="95"/>
    </row>
    <row r="672" spans="14:30">
      <c r="N672" s="7"/>
      <c r="P672" s="86"/>
      <c r="Q672" s="4"/>
      <c r="R672" s="4"/>
      <c r="S672" s="4"/>
      <c r="T672" s="4"/>
      <c r="U672" s="4"/>
      <c r="V672" s="4"/>
      <c r="X672" s="4"/>
      <c r="Y672" s="4"/>
      <c r="AA672" s="4"/>
      <c r="AB672" s="4"/>
      <c r="AC672" s="4"/>
      <c r="AD672" s="95"/>
    </row>
    <row r="673" spans="14:30">
      <c r="N673" s="7"/>
      <c r="P673" s="86"/>
      <c r="Q673" s="4"/>
      <c r="R673" s="4"/>
      <c r="S673" s="4"/>
      <c r="T673" s="4"/>
      <c r="U673" s="4"/>
      <c r="V673" s="4"/>
      <c r="X673" s="4"/>
      <c r="Y673" s="4"/>
      <c r="AA673" s="4"/>
      <c r="AB673" s="4"/>
      <c r="AC673" s="4"/>
      <c r="AD673" s="95"/>
    </row>
    <row r="674" spans="14:30">
      <c r="N674" s="7"/>
      <c r="P674" s="86"/>
      <c r="Q674" s="4"/>
      <c r="R674" s="4"/>
      <c r="S674" s="4"/>
      <c r="T674" s="4"/>
      <c r="U674" s="4"/>
      <c r="V674" s="4"/>
      <c r="X674" s="4"/>
      <c r="Y674" s="4"/>
      <c r="AA674" s="4"/>
      <c r="AB674" s="4"/>
      <c r="AC674" s="4"/>
      <c r="AD674" s="95"/>
    </row>
    <row r="675" spans="14:30">
      <c r="N675" s="7"/>
      <c r="P675" s="86"/>
      <c r="Q675" s="4"/>
      <c r="R675" s="4"/>
      <c r="S675" s="4"/>
      <c r="T675" s="4"/>
      <c r="U675" s="4"/>
      <c r="V675" s="4"/>
      <c r="X675" s="4"/>
      <c r="Y675" s="4"/>
      <c r="AA675" s="4"/>
      <c r="AB675" s="4"/>
      <c r="AC675" s="4"/>
      <c r="AD675" s="95"/>
    </row>
    <row r="676" spans="14:30">
      <c r="N676" s="7"/>
      <c r="P676" s="86"/>
      <c r="Q676" s="4"/>
      <c r="R676" s="4"/>
      <c r="S676" s="4"/>
      <c r="T676" s="4"/>
      <c r="U676" s="4"/>
      <c r="V676" s="4"/>
      <c r="X676" s="4"/>
      <c r="Y676" s="4"/>
      <c r="AA676" s="4"/>
      <c r="AB676" s="4"/>
      <c r="AC676" s="4"/>
      <c r="AD676" s="95"/>
    </row>
    <row r="677" spans="14:30">
      <c r="N677" s="7"/>
      <c r="P677" s="86"/>
      <c r="Q677" s="4"/>
      <c r="R677" s="4"/>
      <c r="S677" s="4"/>
      <c r="T677" s="4"/>
      <c r="U677" s="4"/>
      <c r="V677" s="4"/>
      <c r="X677" s="4"/>
      <c r="Y677" s="4"/>
      <c r="AA677" s="4"/>
      <c r="AB677" s="4"/>
      <c r="AC677" s="4"/>
      <c r="AD677" s="95"/>
    </row>
    <row r="678" spans="14:30">
      <c r="N678" s="7"/>
      <c r="P678" s="86"/>
      <c r="Q678" s="4"/>
      <c r="R678" s="4"/>
      <c r="S678" s="4"/>
      <c r="T678" s="4"/>
      <c r="U678" s="4"/>
      <c r="V678" s="4"/>
      <c r="X678" s="4"/>
      <c r="Y678" s="4"/>
      <c r="AA678" s="4"/>
      <c r="AB678" s="4"/>
      <c r="AC678" s="4"/>
      <c r="AD678" s="95"/>
    </row>
    <row r="679" spans="14:30">
      <c r="N679" s="7"/>
      <c r="P679" s="86"/>
      <c r="Q679" s="4"/>
      <c r="R679" s="4"/>
      <c r="S679" s="4"/>
      <c r="T679" s="4"/>
      <c r="U679" s="4"/>
      <c r="V679" s="4"/>
      <c r="X679" s="4"/>
      <c r="Y679" s="4"/>
      <c r="AA679" s="4"/>
      <c r="AB679" s="4"/>
      <c r="AC679" s="4"/>
      <c r="AD679" s="95"/>
    </row>
    <row r="680" spans="14:30">
      <c r="N680" s="7"/>
      <c r="P680" s="86"/>
      <c r="Q680" s="4"/>
      <c r="R680" s="4"/>
      <c r="S680" s="4"/>
      <c r="T680" s="4"/>
      <c r="U680" s="4"/>
      <c r="V680" s="4"/>
      <c r="X680" s="4"/>
      <c r="Y680" s="4"/>
      <c r="AA680" s="4"/>
      <c r="AB680" s="4"/>
      <c r="AC680" s="4"/>
      <c r="AD680" s="95"/>
    </row>
    <row r="681" spans="14:30">
      <c r="N681" s="7"/>
      <c r="P681" s="86"/>
      <c r="Q681" s="4"/>
      <c r="R681" s="4"/>
      <c r="S681" s="4"/>
      <c r="T681" s="4"/>
      <c r="U681" s="4"/>
      <c r="V681" s="4"/>
      <c r="X681" s="4"/>
      <c r="Y681" s="4"/>
      <c r="AA681" s="4"/>
      <c r="AB681" s="4"/>
      <c r="AC681" s="4"/>
      <c r="AD681" s="95"/>
    </row>
    <row r="682" spans="14:30">
      <c r="N682" s="7"/>
      <c r="P682" s="86"/>
      <c r="Q682" s="4"/>
      <c r="R682" s="4"/>
      <c r="S682" s="4"/>
      <c r="T682" s="4"/>
      <c r="U682" s="4"/>
      <c r="V682" s="4"/>
      <c r="X682" s="4"/>
      <c r="Y682" s="4"/>
      <c r="AA682" s="4"/>
      <c r="AB682" s="4"/>
      <c r="AC682" s="4"/>
      <c r="AD682" s="95"/>
    </row>
    <row r="683" spans="14:30">
      <c r="N683" s="7"/>
      <c r="P683" s="86"/>
      <c r="Q683" s="4"/>
      <c r="R683" s="4"/>
      <c r="S683" s="4"/>
      <c r="T683" s="4"/>
      <c r="U683" s="4"/>
      <c r="V683" s="4"/>
      <c r="X683" s="4"/>
      <c r="Y683" s="4"/>
      <c r="AA683" s="4"/>
      <c r="AB683" s="4"/>
      <c r="AC683" s="4"/>
      <c r="AD683" s="95"/>
    </row>
    <row r="684" spans="14:30">
      <c r="N684" s="7"/>
      <c r="P684" s="86"/>
      <c r="Q684" s="4"/>
      <c r="R684" s="4"/>
      <c r="S684" s="4"/>
      <c r="T684" s="4"/>
      <c r="U684" s="4"/>
      <c r="V684" s="4"/>
      <c r="X684" s="4"/>
      <c r="Y684" s="4"/>
      <c r="AA684" s="4"/>
      <c r="AB684" s="4"/>
      <c r="AC684" s="4"/>
      <c r="AD684" s="95"/>
    </row>
    <row r="685" spans="14:30">
      <c r="N685" s="7"/>
      <c r="P685" s="86"/>
      <c r="Q685" s="4"/>
      <c r="R685" s="4"/>
      <c r="S685" s="4"/>
      <c r="T685" s="4"/>
      <c r="U685" s="4"/>
      <c r="V685" s="4"/>
      <c r="X685" s="4"/>
      <c r="Y685" s="4"/>
      <c r="AA685" s="4"/>
      <c r="AB685" s="4"/>
      <c r="AC685" s="4"/>
      <c r="AD685" s="95"/>
    </row>
    <row r="686" spans="14:30">
      <c r="N686" s="7"/>
      <c r="P686" s="86"/>
      <c r="Q686" s="4"/>
      <c r="R686" s="4"/>
      <c r="S686" s="4"/>
      <c r="T686" s="4"/>
      <c r="U686" s="4"/>
      <c r="V686" s="4"/>
      <c r="X686" s="4"/>
      <c r="Y686" s="4"/>
      <c r="AA686" s="4"/>
      <c r="AB686" s="4"/>
      <c r="AC686" s="4"/>
      <c r="AD686" s="95"/>
    </row>
    <row r="687" spans="14:30">
      <c r="N687" s="7"/>
      <c r="P687" s="86"/>
      <c r="Q687" s="4"/>
      <c r="R687" s="4"/>
      <c r="S687" s="4"/>
      <c r="T687" s="4"/>
      <c r="U687" s="4"/>
      <c r="V687" s="4"/>
      <c r="X687" s="4"/>
      <c r="Y687" s="4"/>
      <c r="AA687" s="4"/>
      <c r="AB687" s="4"/>
      <c r="AC687" s="4"/>
      <c r="AD687" s="95"/>
    </row>
    <row r="688" spans="14:30">
      <c r="N688" s="7"/>
      <c r="P688" s="86"/>
      <c r="Q688" s="4"/>
      <c r="R688" s="4"/>
      <c r="S688" s="4"/>
      <c r="T688" s="4"/>
      <c r="U688" s="4"/>
      <c r="V688" s="4"/>
      <c r="X688" s="4"/>
      <c r="Y688" s="4"/>
      <c r="AA688" s="4"/>
      <c r="AB688" s="4"/>
      <c r="AC688" s="4"/>
      <c r="AD688" s="95"/>
    </row>
    <row r="689" spans="14:30">
      <c r="N689" s="7"/>
      <c r="P689" s="86"/>
      <c r="Q689" s="4"/>
      <c r="R689" s="4"/>
      <c r="S689" s="4"/>
      <c r="T689" s="4"/>
      <c r="U689" s="4"/>
      <c r="V689" s="4"/>
      <c r="X689" s="4"/>
      <c r="Y689" s="4"/>
      <c r="AA689" s="4"/>
      <c r="AB689" s="4"/>
      <c r="AC689" s="4"/>
      <c r="AD689" s="95"/>
    </row>
    <row r="690" spans="14:30">
      <c r="N690" s="7"/>
      <c r="P690" s="86"/>
      <c r="Q690" s="4"/>
      <c r="R690" s="4"/>
      <c r="S690" s="4"/>
      <c r="T690" s="4"/>
      <c r="U690" s="4"/>
      <c r="V690" s="4"/>
      <c r="X690" s="4"/>
      <c r="Y690" s="4"/>
      <c r="AA690" s="4"/>
      <c r="AB690" s="4"/>
      <c r="AC690" s="4"/>
      <c r="AD690" s="95"/>
    </row>
    <row r="691" spans="14:30">
      <c r="N691" s="7"/>
      <c r="P691" s="86"/>
      <c r="Q691" s="4"/>
      <c r="R691" s="4"/>
      <c r="S691" s="4"/>
      <c r="T691" s="4"/>
      <c r="U691" s="4"/>
      <c r="V691" s="4"/>
      <c r="X691" s="4"/>
      <c r="Y691" s="4"/>
      <c r="AA691" s="4"/>
      <c r="AB691" s="4"/>
      <c r="AC691" s="4"/>
      <c r="AD691" s="95"/>
    </row>
    <row r="692" spans="14:30">
      <c r="N692" s="7"/>
      <c r="P692" s="86"/>
      <c r="Q692" s="4"/>
      <c r="R692" s="4"/>
      <c r="S692" s="4"/>
      <c r="T692" s="4"/>
      <c r="U692" s="4"/>
      <c r="V692" s="4"/>
      <c r="X692" s="4"/>
      <c r="Y692" s="4"/>
      <c r="AA692" s="4"/>
      <c r="AB692" s="4"/>
      <c r="AC692" s="4"/>
      <c r="AD692" s="95"/>
    </row>
    <row r="693" spans="14:30">
      <c r="N693" s="7"/>
      <c r="P693" s="86"/>
      <c r="Q693" s="4"/>
      <c r="R693" s="4"/>
      <c r="S693" s="4"/>
      <c r="T693" s="4"/>
      <c r="U693" s="4"/>
      <c r="V693" s="4"/>
      <c r="X693" s="4"/>
      <c r="Y693" s="4"/>
      <c r="AA693" s="4"/>
      <c r="AB693" s="4"/>
      <c r="AC693" s="4"/>
      <c r="AD693" s="95"/>
    </row>
    <row r="694" spans="14:30">
      <c r="N694" s="7"/>
      <c r="P694" s="86"/>
      <c r="Q694" s="4"/>
      <c r="R694" s="4"/>
      <c r="S694" s="4"/>
      <c r="T694" s="4"/>
      <c r="U694" s="4"/>
      <c r="V694" s="4"/>
      <c r="X694" s="4"/>
      <c r="Y694" s="4"/>
      <c r="AA694" s="4"/>
      <c r="AB694" s="4"/>
      <c r="AC694" s="4"/>
      <c r="AD694" s="95"/>
    </row>
    <row r="695" spans="14:30">
      <c r="N695" s="7"/>
      <c r="P695" s="86"/>
      <c r="Q695" s="4"/>
      <c r="R695" s="4"/>
      <c r="S695" s="4"/>
      <c r="T695" s="4"/>
      <c r="U695" s="4"/>
      <c r="V695" s="4"/>
      <c r="X695" s="4"/>
      <c r="Y695" s="4"/>
      <c r="AA695" s="4"/>
      <c r="AB695" s="4"/>
      <c r="AC695" s="4"/>
      <c r="AD695" s="95"/>
    </row>
    <row r="696" spans="14:30">
      <c r="N696" s="7"/>
      <c r="P696" s="86"/>
      <c r="Q696" s="4"/>
      <c r="R696" s="4"/>
      <c r="S696" s="4"/>
      <c r="T696" s="4"/>
      <c r="U696" s="4"/>
      <c r="V696" s="4"/>
      <c r="X696" s="4"/>
      <c r="Y696" s="4"/>
      <c r="AA696" s="4"/>
      <c r="AB696" s="4"/>
      <c r="AC696" s="4"/>
      <c r="AD696" s="95"/>
    </row>
    <row r="697" spans="14:30">
      <c r="N697" s="7"/>
      <c r="P697" s="86"/>
      <c r="Q697" s="4"/>
      <c r="R697" s="4"/>
      <c r="S697" s="4"/>
      <c r="T697" s="4"/>
      <c r="U697" s="4"/>
      <c r="V697" s="4"/>
      <c r="X697" s="4"/>
      <c r="Y697" s="4"/>
      <c r="AA697" s="4"/>
      <c r="AB697" s="4"/>
      <c r="AC697" s="4"/>
      <c r="AD697" s="95"/>
    </row>
    <row r="698" spans="14:30">
      <c r="N698" s="7"/>
      <c r="P698" s="86"/>
      <c r="Q698" s="4"/>
      <c r="R698" s="4"/>
      <c r="S698" s="4"/>
      <c r="T698" s="4"/>
      <c r="U698" s="4"/>
      <c r="V698" s="4"/>
      <c r="X698" s="4"/>
      <c r="Y698" s="4"/>
      <c r="AA698" s="4"/>
      <c r="AB698" s="4"/>
      <c r="AC698" s="4"/>
      <c r="AD698" s="95"/>
    </row>
    <row r="699" spans="14:30">
      <c r="N699" s="7"/>
      <c r="P699" s="86"/>
      <c r="Q699" s="4"/>
      <c r="R699" s="4"/>
      <c r="S699" s="4"/>
      <c r="T699" s="4"/>
      <c r="U699" s="4"/>
      <c r="V699" s="4"/>
      <c r="X699" s="4"/>
      <c r="Y699" s="4"/>
      <c r="AA699" s="4"/>
      <c r="AB699" s="4"/>
      <c r="AC699" s="4"/>
      <c r="AD699" s="95"/>
    </row>
    <row r="700" spans="14:30">
      <c r="N700" s="7"/>
      <c r="P700" s="86"/>
      <c r="Q700" s="4"/>
      <c r="R700" s="4"/>
      <c r="S700" s="4"/>
      <c r="T700" s="4"/>
      <c r="U700" s="4"/>
      <c r="V700" s="4"/>
      <c r="X700" s="4"/>
      <c r="Y700" s="4"/>
      <c r="AA700" s="4"/>
      <c r="AB700" s="4"/>
      <c r="AC700" s="4"/>
      <c r="AD700" s="95"/>
    </row>
    <row r="701" spans="14:30">
      <c r="N701" s="7"/>
      <c r="P701" s="86"/>
      <c r="Q701" s="4"/>
      <c r="R701" s="4"/>
      <c r="S701" s="4"/>
      <c r="T701" s="4"/>
      <c r="U701" s="4"/>
      <c r="V701" s="4"/>
      <c r="X701" s="4"/>
      <c r="Y701" s="4"/>
      <c r="AA701" s="4"/>
      <c r="AB701" s="4"/>
      <c r="AC701" s="4"/>
      <c r="AD701" s="95"/>
    </row>
    <row r="702" spans="14:30">
      <c r="N702" s="7"/>
      <c r="P702" s="86"/>
      <c r="Q702" s="4"/>
      <c r="R702" s="4"/>
      <c r="S702" s="4"/>
      <c r="T702" s="4"/>
      <c r="U702" s="4"/>
      <c r="V702" s="4"/>
      <c r="X702" s="4"/>
      <c r="Y702" s="4"/>
      <c r="AA702" s="4"/>
      <c r="AB702" s="4"/>
      <c r="AC702" s="4"/>
      <c r="AD702" s="95"/>
    </row>
    <row r="703" spans="14:30">
      <c r="N703" s="7"/>
      <c r="P703" s="86"/>
      <c r="Q703" s="4"/>
      <c r="R703" s="4"/>
      <c r="S703" s="4"/>
      <c r="T703" s="4"/>
      <c r="U703" s="4"/>
      <c r="V703" s="4"/>
      <c r="X703" s="4"/>
      <c r="Y703" s="4"/>
      <c r="AA703" s="4"/>
      <c r="AB703" s="4"/>
      <c r="AC703" s="4"/>
      <c r="AD703" s="95"/>
    </row>
    <row r="704" spans="14:30">
      <c r="N704" s="7"/>
      <c r="P704" s="86"/>
      <c r="Q704" s="4"/>
      <c r="R704" s="4"/>
      <c r="S704" s="4"/>
      <c r="T704" s="4"/>
      <c r="U704" s="4"/>
      <c r="V704" s="4"/>
      <c r="X704" s="4"/>
      <c r="Y704" s="4"/>
      <c r="AA704" s="4"/>
      <c r="AB704" s="4"/>
      <c r="AC704" s="4"/>
      <c r="AD704" s="95"/>
    </row>
    <row r="705" spans="14:30">
      <c r="N705" s="7"/>
      <c r="P705" s="86"/>
      <c r="Q705" s="4"/>
      <c r="R705" s="4"/>
      <c r="S705" s="4"/>
      <c r="T705" s="4"/>
      <c r="U705" s="4"/>
      <c r="V705" s="4"/>
      <c r="X705" s="4"/>
      <c r="Y705" s="4"/>
      <c r="AA705" s="4"/>
      <c r="AB705" s="4"/>
      <c r="AC705" s="4"/>
      <c r="AD705" s="95"/>
    </row>
    <row r="706" spans="14:30">
      <c r="N706" s="7"/>
      <c r="P706" s="86"/>
      <c r="Q706" s="4"/>
      <c r="R706" s="4"/>
      <c r="S706" s="4"/>
      <c r="T706" s="4"/>
      <c r="U706" s="4"/>
      <c r="V706" s="4"/>
      <c r="X706" s="4"/>
      <c r="Y706" s="4"/>
      <c r="AA706" s="4"/>
      <c r="AB706" s="4"/>
      <c r="AC706" s="4"/>
      <c r="AD706" s="95"/>
    </row>
    <row r="707" spans="14:30">
      <c r="N707" s="7"/>
      <c r="P707" s="86"/>
      <c r="Q707" s="4"/>
      <c r="R707" s="4"/>
      <c r="S707" s="4"/>
      <c r="T707" s="4"/>
      <c r="U707" s="4"/>
      <c r="V707" s="4"/>
      <c r="X707" s="4"/>
      <c r="Y707" s="4"/>
      <c r="AA707" s="4"/>
      <c r="AB707" s="4"/>
      <c r="AC707" s="4"/>
      <c r="AD707" s="95"/>
    </row>
    <row r="708" spans="14:30">
      <c r="N708" s="7"/>
      <c r="P708" s="86"/>
      <c r="Q708" s="4"/>
      <c r="R708" s="4"/>
      <c r="S708" s="4"/>
      <c r="T708" s="4"/>
      <c r="U708" s="4"/>
      <c r="V708" s="4"/>
      <c r="X708" s="4"/>
      <c r="Y708" s="4"/>
      <c r="AA708" s="4"/>
      <c r="AB708" s="4"/>
      <c r="AC708" s="4"/>
      <c r="AD708" s="95"/>
    </row>
  </sheetData>
  <mergeCells count="46">
    <mergeCell ref="A1:M1"/>
    <mergeCell ref="N1:X1"/>
    <mergeCell ref="AF2:AR2"/>
    <mergeCell ref="P4:AE4"/>
    <mergeCell ref="AS4:BE4"/>
    <mergeCell ref="BF4:BH4"/>
    <mergeCell ref="BI4:BK4"/>
    <mergeCell ref="BL4:BM4"/>
    <mergeCell ref="Q5:S5"/>
    <mergeCell ref="T5:V5"/>
    <mergeCell ref="W5:Y5"/>
    <mergeCell ref="Z5:AB5"/>
    <mergeCell ref="AC5:AE5"/>
    <mergeCell ref="AG5:AI5"/>
    <mergeCell ref="AJ5:AL5"/>
    <mergeCell ref="AM5:AO5"/>
    <mergeCell ref="AP5:AR5"/>
    <mergeCell ref="AT5:AV5"/>
    <mergeCell ref="AW5:AY5"/>
    <mergeCell ref="AZ5:BB5"/>
    <mergeCell ref="BC5:BE5"/>
    <mergeCell ref="BF5:BH5"/>
    <mergeCell ref="BI5:BK5"/>
    <mergeCell ref="BL5:BM5"/>
    <mergeCell ref="E6:K6"/>
    <mergeCell ref="P16:AE16"/>
    <mergeCell ref="AF16:AR16"/>
    <mergeCell ref="AS16:BE16"/>
    <mergeCell ref="BF16:BH16"/>
    <mergeCell ref="BI16:BK16"/>
    <mergeCell ref="BL16:BM16"/>
    <mergeCell ref="Q17:S17"/>
    <mergeCell ref="T17:V17"/>
    <mergeCell ref="W17:Y17"/>
    <mergeCell ref="Z17:AB17"/>
    <mergeCell ref="AC17:AE17"/>
    <mergeCell ref="AG17:AI17"/>
    <mergeCell ref="AJ17:AL17"/>
    <mergeCell ref="AM17:AO17"/>
    <mergeCell ref="AP17:AR17"/>
    <mergeCell ref="AT17:AV17"/>
    <mergeCell ref="AW17:AY17"/>
    <mergeCell ref="AZ17:BB17"/>
    <mergeCell ref="BC17:BE17"/>
    <mergeCell ref="BF17:BH17"/>
    <mergeCell ref="BI17:BK17"/>
  </mergeCells>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I53"/>
  <sheetViews>
    <sheetView zoomScale="85" zoomScaleNormal="85" topLeftCell="A13" workbookViewId="0">
      <selection activeCell="G41" sqref="G41"/>
    </sheetView>
  </sheetViews>
  <sheetFormatPr defaultColWidth="9" defaultRowHeight="15"/>
  <cols>
    <col min="1" max="1" width="26.8571428571429" customWidth="1"/>
    <col min="2" max="2" width="25.5714285714286" customWidth="1"/>
    <col min="3" max="3" width="10.1428571428571" customWidth="1"/>
  </cols>
  <sheetData>
    <row r="1" ht="27.75" spans="1:9">
      <c r="A1" s="1" t="s">
        <v>513</v>
      </c>
      <c r="B1" s="1"/>
      <c r="C1" s="1"/>
      <c r="D1" s="1"/>
      <c r="E1" s="1"/>
      <c r="F1" s="1"/>
      <c r="G1" s="1"/>
      <c r="H1" s="1"/>
      <c r="I1" s="1"/>
    </row>
    <row r="2" spans="1:9">
      <c r="A2" s="2"/>
      <c r="B2" s="2" t="s">
        <v>91</v>
      </c>
      <c r="C2" s="3"/>
      <c r="D2" s="4"/>
      <c r="E2" s="2"/>
      <c r="F2" s="2"/>
      <c r="G2" s="2"/>
      <c r="H2" s="2"/>
      <c r="I2" s="2"/>
    </row>
    <row r="3" spans="1:9">
      <c r="A3" s="2"/>
      <c r="B3" s="2" t="s">
        <v>92</v>
      </c>
      <c r="C3" s="5"/>
      <c r="D3" s="4"/>
      <c r="E3" s="2"/>
      <c r="F3" s="2"/>
      <c r="G3" s="2"/>
      <c r="H3" s="2"/>
      <c r="I3" s="2"/>
    </row>
    <row r="4" spans="1:9">
      <c r="A4" s="2"/>
      <c r="B4" s="2" t="s">
        <v>96</v>
      </c>
      <c r="C4" s="6"/>
      <c r="D4" s="4"/>
      <c r="E4" s="2"/>
      <c r="F4" s="2"/>
      <c r="G4" s="2"/>
      <c r="H4" s="2"/>
      <c r="I4" s="2"/>
    </row>
    <row r="5" spans="1:9">
      <c r="A5" s="7" t="s">
        <v>97</v>
      </c>
      <c r="B5" s="7" t="s">
        <v>98</v>
      </c>
      <c r="C5" s="7" t="s">
        <v>99</v>
      </c>
      <c r="D5" s="4"/>
      <c r="E5" s="8" t="s">
        <v>100</v>
      </c>
      <c r="F5" s="8"/>
      <c r="G5" s="8"/>
      <c r="H5" s="8"/>
      <c r="I5" s="7"/>
    </row>
    <row r="6" customFormat="1" spans="1:9">
      <c r="A6" s="7"/>
      <c r="B6" s="7"/>
      <c r="C6" s="7"/>
      <c r="D6" s="9" t="s">
        <v>514</v>
      </c>
      <c r="E6" s="8"/>
      <c r="F6" s="8"/>
      <c r="G6" s="8"/>
      <c r="H6" s="8"/>
      <c r="I6" s="7"/>
    </row>
    <row r="7" customFormat="1" spans="1:9">
      <c r="A7" s="7" t="s">
        <v>515</v>
      </c>
      <c r="B7" s="7"/>
      <c r="C7" s="7"/>
      <c r="D7" s="4"/>
      <c r="E7" s="8"/>
      <c r="F7" s="8"/>
      <c r="G7" s="8"/>
      <c r="H7" s="8"/>
      <c r="I7" s="7"/>
    </row>
    <row r="8" customFormat="1" spans="1:9">
      <c r="A8" s="7"/>
      <c r="B8" s="7"/>
      <c r="C8" s="7"/>
      <c r="D8" s="4"/>
      <c r="E8" s="8"/>
      <c r="F8" s="8"/>
      <c r="G8" s="8"/>
      <c r="H8" s="8"/>
      <c r="I8" s="7"/>
    </row>
    <row r="9" spans="1:9">
      <c r="A9" t="s">
        <v>516</v>
      </c>
      <c r="B9" s="10">
        <v>0.91</v>
      </c>
      <c r="D9" t="s">
        <v>517</v>
      </c>
    </row>
    <row r="10" customFormat="1" spans="1:9">
      <c r="A10" t="s">
        <v>518</v>
      </c>
      <c r="B10" s="11">
        <f>(1-B9)/(2.2*10^6)</f>
        <v>4.09090909090909e-8</v>
      </c>
      <c r="C10" t="s">
        <v>173</v>
      </c>
      <c r="D10" t="s">
        <v>519</v>
      </c>
    </row>
    <row r="11" spans="1:9">
      <c r="A11" t="s">
        <v>520</v>
      </c>
      <c r="B11" s="10">
        <v>0.95</v>
      </c>
      <c r="D11" t="s">
        <v>517</v>
      </c>
    </row>
    <row r="12" customFormat="1" spans="1:9">
      <c r="A12" t="s">
        <v>521</v>
      </c>
      <c r="B12" s="11">
        <f>(1-B11)/(2.2*10^6)</f>
        <v>2.27272727272727e-8</v>
      </c>
      <c r="C12" t="s">
        <v>173</v>
      </c>
      <c r="D12" t="s">
        <v>522</v>
      </c>
    </row>
    <row r="13" spans="1:9">
      <c r="A13" t="s">
        <v>523</v>
      </c>
      <c r="B13" s="10">
        <v>0.98</v>
      </c>
      <c r="D13" t="s">
        <v>517</v>
      </c>
    </row>
    <row r="14" spans="1:9">
      <c r="A14" t="s">
        <v>524</v>
      </c>
      <c r="B14" s="11">
        <f>(1-B13)/(2.2*10^6)</f>
        <v>9.0909090909091e-9</v>
      </c>
      <c r="C14" t="s">
        <v>173</v>
      </c>
      <c r="D14" t="s">
        <v>525</v>
      </c>
    </row>
    <row r="16" spans="1:9">
      <c r="A16" t="s">
        <v>526</v>
      </c>
      <c r="B16" s="10">
        <v>0.97</v>
      </c>
      <c r="D16" t="s">
        <v>527</v>
      </c>
    </row>
    <row r="17" spans="1:6">
      <c r="A17" t="s">
        <v>528</v>
      </c>
      <c r="B17" s="10">
        <v>0.98</v>
      </c>
      <c r="D17" t="s">
        <v>529</v>
      </c>
    </row>
    <row r="18" spans="1:6">
      <c r="A18" t="s">
        <v>530</v>
      </c>
      <c r="B18" s="10">
        <v>0.99</v>
      </c>
      <c r="D18" t="s">
        <v>531</v>
      </c>
    </row>
    <row r="19" spans="1:6">
      <c r="B19">
        <f>IF(((1-D_limit_min)/Constants!B12)&lt;Fsw,2,1)</f>
        <v>1</v>
      </c>
      <c r="D19" t="s">
        <v>532</v>
      </c>
    </row>
    <row r="20" spans="1:6">
      <c r="A20" t="s">
        <v>533</v>
      </c>
      <c r="B20" s="12">
        <f>CHOOSE(B19,D_limit_min,(1-Constants!B10*Fsw))</f>
        <v>0.97</v>
      </c>
      <c r="D20" t="s">
        <v>534</v>
      </c>
    </row>
    <row r="22" spans="1:6">
      <c r="A22" t="s">
        <v>535</v>
      </c>
      <c r="B22" s="10">
        <f>325*10^-9</f>
        <v>3.25e-7</v>
      </c>
      <c r="C22" t="s">
        <v>173</v>
      </c>
      <c r="D22" t="s">
        <v>536</v>
      </c>
    </row>
    <row r="23" customFormat="1" spans="1:6">
      <c r="B23" s="13"/>
    </row>
    <row r="24" ht="15.75" spans="1:6">
      <c r="A24" s="14" t="s">
        <v>537</v>
      </c>
      <c r="E24" t="s">
        <v>538</v>
      </c>
      <c r="F24" s="15">
        <f>'Design Converter'!H12*1000</f>
        <v>700000</v>
      </c>
    </row>
    <row r="25" spans="1:6">
      <c r="A25" t="s">
        <v>484</v>
      </c>
      <c r="B25" s="10">
        <f>0.00005-(0.00000000001*F24)</f>
        <v>4.3e-5</v>
      </c>
      <c r="C25" t="s">
        <v>12</v>
      </c>
      <c r="D25" t="s">
        <v>539</v>
      </c>
    </row>
    <row r="26" spans="1:6">
      <c r="A26" t="s">
        <v>482</v>
      </c>
      <c r="B26" s="10">
        <v>2000</v>
      </c>
      <c r="C26" s="16" t="s">
        <v>35</v>
      </c>
      <c r="D26" t="s">
        <v>540</v>
      </c>
    </row>
    <row r="27" spans="1:6">
      <c r="A27" t="s">
        <v>541</v>
      </c>
      <c r="B27" s="10">
        <f>0.156</f>
        <v>0.156</v>
      </c>
      <c r="C27" s="16" t="s">
        <v>7</v>
      </c>
      <c r="D27" t="s">
        <v>542</v>
      </c>
    </row>
    <row r="28" spans="1:6">
      <c r="A28" t="s">
        <v>543</v>
      </c>
      <c r="B28" s="10">
        <v>2000</v>
      </c>
      <c r="C28" s="16" t="s">
        <v>35</v>
      </c>
    </row>
    <row r="29" spans="1:6">
      <c r="A29" t="s">
        <v>486</v>
      </c>
      <c r="B29" s="10">
        <f>0.9</f>
        <v>0.9</v>
      </c>
      <c r="C29" t="s">
        <v>244</v>
      </c>
      <c r="D29" t="s">
        <v>544</v>
      </c>
    </row>
    <row r="30" spans="1:6">
      <c r="A30" t="s">
        <v>545</v>
      </c>
      <c r="B30" s="10">
        <v>1</v>
      </c>
      <c r="C30" t="s">
        <v>244</v>
      </c>
      <c r="D30" t="s">
        <v>546</v>
      </c>
    </row>
    <row r="32" customFormat="1" spans="1:6">
      <c r="A32" s="17" t="s">
        <v>438</v>
      </c>
    </row>
    <row r="33" customFormat="1" spans="1:7">
      <c r="A33" t="s">
        <v>547</v>
      </c>
      <c r="B33" s="10">
        <v>1.26</v>
      </c>
      <c r="C33" t="s">
        <v>7</v>
      </c>
      <c r="D33" t="s">
        <v>548</v>
      </c>
    </row>
    <row r="34" spans="1:7">
      <c r="A34" t="s">
        <v>549</v>
      </c>
      <c r="B34" s="10">
        <f>(800*10^-6)/1</f>
        <v>0.0008</v>
      </c>
      <c r="C34" t="s">
        <v>550</v>
      </c>
      <c r="D34" t="s">
        <v>551</v>
      </c>
    </row>
    <row r="36" spans="1:7">
      <c r="A36" s="17" t="s">
        <v>552</v>
      </c>
    </row>
    <row r="37" spans="1:7">
      <c r="A37" t="s">
        <v>553</v>
      </c>
      <c r="B37" s="10">
        <v>4</v>
      </c>
      <c r="C37" t="s">
        <v>283</v>
      </c>
    </row>
    <row r="39" spans="1:7">
      <c r="A39" s="17" t="s">
        <v>554</v>
      </c>
    </row>
    <row r="40" spans="1:7">
      <c r="A40" t="s">
        <v>555</v>
      </c>
      <c r="B40" s="10">
        <v>3.02</v>
      </c>
      <c r="C40" t="s">
        <v>7</v>
      </c>
      <c r="D40" t="s">
        <v>556</v>
      </c>
    </row>
    <row r="41" spans="1:7">
      <c r="A41" t="s">
        <v>557</v>
      </c>
      <c r="B41" s="10">
        <v>2.85</v>
      </c>
      <c r="C41" t="s">
        <v>7</v>
      </c>
      <c r="D41" t="s">
        <v>556</v>
      </c>
    </row>
    <row r="42" spans="1:7">
      <c r="A42" t="s">
        <v>558</v>
      </c>
      <c r="B42" s="10">
        <v>0.17</v>
      </c>
      <c r="C42" t="s">
        <v>7</v>
      </c>
      <c r="D42" t="s">
        <v>556</v>
      </c>
    </row>
    <row r="44" spans="1:7">
      <c r="A44" s="17" t="s">
        <v>559</v>
      </c>
    </row>
    <row r="45" spans="1:7">
      <c r="A45" t="s">
        <v>560</v>
      </c>
      <c r="B45" s="10">
        <v>7.2</v>
      </c>
      <c r="C45" t="s">
        <v>7</v>
      </c>
      <c r="D45" t="s">
        <v>561</v>
      </c>
    </row>
    <row r="47" spans="1:7">
      <c r="A47" s="17" t="s">
        <v>562</v>
      </c>
    </row>
    <row r="48" spans="1:7">
      <c r="A48" t="s">
        <v>563</v>
      </c>
      <c r="B48" s="10">
        <f>3.3*(10^-3)</f>
        <v>0.0033</v>
      </c>
      <c r="C48" t="s">
        <v>12</v>
      </c>
      <c r="D48" t="s">
        <v>564</v>
      </c>
      <c r="G48" t="s">
        <v>565</v>
      </c>
    </row>
    <row r="50" spans="1:4">
      <c r="A50" t="s">
        <v>566</v>
      </c>
    </row>
    <row r="51" spans="1:4">
      <c r="A51" t="s">
        <v>567</v>
      </c>
      <c r="B51" s="10">
        <v>2.97</v>
      </c>
      <c r="C51" t="s">
        <v>7</v>
      </c>
      <c r="D51" t="s">
        <v>568</v>
      </c>
    </row>
    <row r="52" spans="1:4">
      <c r="A52" t="s">
        <v>569</v>
      </c>
      <c r="B52" s="10">
        <v>40</v>
      </c>
      <c r="C52" t="s">
        <v>7</v>
      </c>
      <c r="D52" t="s">
        <v>570</v>
      </c>
    </row>
    <row r="53" spans="1:4">
      <c r="A53" t="s">
        <v>571</v>
      </c>
      <c r="B53" s="10">
        <v>40</v>
      </c>
      <c r="C53" t="s">
        <v>7</v>
      </c>
      <c r="D53" t="s">
        <v>572</v>
      </c>
    </row>
  </sheetData>
  <mergeCells count="2">
    <mergeCell ref="A1:I1"/>
    <mergeCell ref="E5:H5"/>
  </mergeCells>
  <pageMargins left="0.7" right="0.7" top="0.75" bottom="0.75" header="0.3" footer="0.3"/>
  <pageSetup paperSize="1"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B2:B3"/>
  <sheetViews>
    <sheetView zoomScale="70" zoomScaleNormal="70" topLeftCell="B1" workbookViewId="0">
      <selection activeCell="E3" sqref="E3"/>
    </sheetView>
  </sheetViews>
  <sheetFormatPr defaultColWidth="9" defaultRowHeight="15" outlineLevelRow="2" outlineLevelCol="1"/>
  <cols>
    <col min="3" max="3" width="144.857142857143" customWidth="1"/>
  </cols>
  <sheetData>
    <row r="2" spans="2:2">
      <c r="B2" t="str">
        <f>"Eff_vs_IOUT"</f>
        <v>Eff_vs_IOUT</v>
      </c>
    </row>
    <row r="3" ht="379.7" customHeight="1"/>
  </sheetData>
  <pageMargins left="0.7" right="0.7" top="0.75" bottom="0.75" header="0.3" footer="0.3"/>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2"/>
  <sheetViews>
    <sheetView workbookViewId="0">
      <selection activeCell="C2" sqref="C2"/>
    </sheetView>
  </sheetViews>
  <sheetFormatPr defaultColWidth="9" defaultRowHeight="15" outlineLevelRow="1"/>
  <cols>
    <col min="2" max="2" width="71.2857142857143" customWidth="1"/>
  </cols>
  <sheetData>
    <row r="2" ht="294.6" customHeight="1"/>
  </sheetData>
  <pageMargins left="0.7" right="0.7" top="0.75" bottom="0.75" header="0.3" footer="0.3"/>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dimension ref="A2:D5"/>
  <sheetViews>
    <sheetView workbookViewId="0">
      <selection activeCell="B3" sqref="B3"/>
    </sheetView>
  </sheetViews>
  <sheetFormatPr defaultColWidth="9" defaultRowHeight="15" outlineLevelRow="4" outlineLevelCol="3"/>
  <sheetData>
    <row r="2" spans="1:4">
      <c r="A2" t="s">
        <v>573</v>
      </c>
    </row>
    <row r="3" spans="1:4">
      <c r="B3">
        <f>VIN_min</f>
        <v>3</v>
      </c>
    </row>
    <row r="4" spans="1:4">
      <c r="B4">
        <f>VIN_nom</f>
        <v>3.7</v>
      </c>
      <c r="D4">
        <v>2.5</v>
      </c>
    </row>
    <row r="5" spans="1:4">
      <c r="B5">
        <f>VIN_max</f>
        <v>12.6</v>
      </c>
    </row>
  </sheetData>
  <dataValidations count="3">
    <dataValidation type="list" allowBlank="1" showInputMessage="1" showErrorMessage="1" sqref="D4">
      <formula1>$B$3:$B$5</formula1>
    </dataValidation>
    <dataValidation type="decimal" operator="between" allowBlank="1" showInputMessage="1" showErrorMessage="1" sqref="F4">
      <formula1>B3</formula1>
      <formula2>B5</formula2>
    </dataValidation>
    <dataValidation type="list" showInputMessage="1" showErrorMessage="1" sqref="I15" showDropDown="1">
      <formula1>$B$3:$B$5</formula1>
    </dataValidation>
  </dataValidations>
  <pageMargins left="0.7" right="0.7" top="0.75" bottom="0.75" header="0.3" footer="0.3"/>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llowEditUser xmlns="https://web.wps.cn/et/2018/main" xmlns:s="http://schemas.openxmlformats.org/spreadsheetml/2006/main" hasInvisiblePropRange="0">
  <rangeList sheetStid="1" master="" otherUserPermission="visible"/>
  <rangeList sheetStid="10" master="" otherUserPermission="visible"/>
  <rangeList sheetStid="2" master="" otherUserPermission="visible"/>
  <rangeList sheetStid="4" master="" otherUserPermission="visible"/>
  <rangeList sheetStid="5" master="" otherUserPermission="visible"/>
  <rangeList sheetStid="3" master="" otherUserPermission="visible"/>
  <rangeList sheetStid="6" master="" otherUserPermission="visible"/>
  <rangeList sheetStid="7" master="" otherUserPermission="visible"/>
  <rangeList sheetStid="8" master="" otherUserPermission="visible"/>
</allowEditUser>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Company>Texas Instruments Incorporated</Company>
  <Application>Microsoft Excel</Application>
  <HeadingPairs>
    <vt:vector size="2" baseType="variant">
      <vt:variant>
        <vt:lpstr>工作表</vt:lpstr>
      </vt:variant>
      <vt:variant>
        <vt:i4>9</vt:i4>
      </vt:variant>
    </vt:vector>
  </HeadingPairs>
  <TitlesOfParts>
    <vt:vector size="9" baseType="lpstr">
      <vt:lpstr>Design Converter</vt:lpstr>
      <vt:lpstr>Licenses</vt:lpstr>
      <vt:lpstr>Variable_Management</vt:lpstr>
      <vt:lpstr>Eff_vs_IOUT</vt:lpstr>
      <vt:lpstr>Loop_Modeling</vt:lpstr>
      <vt:lpstr>Constants</vt:lpstr>
      <vt:lpstr>Plot_Management_Eff</vt:lpstr>
      <vt:lpstr>Plot_Management_Sch</vt:lpstr>
      <vt:lpstr>Lists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BMC-BCS</dc:creator>
  <cp:lastModifiedBy>Rozkurwiator</cp:lastModifiedBy>
  <dcterms:created xsi:type="dcterms:W3CDTF">2018-06-26T09:13:00Z</dcterms:created>
  <cp:lastPrinted>2018-08-09T07:13:00Z</cp:lastPrinted>
  <dcterms:modified xsi:type="dcterms:W3CDTF">2026-10-01T14:08:35Z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FA8F5C428ACF4829BF6D84869630F810_13</vt:lpwstr>
  </property>
  <property fmtid="{D5CDD505-2E9C-101B-9397-08002B2CF9AE}" pid="3" name="KSOProductBuildVer">
    <vt:lpwstr>1045-12.1.0.28485</vt:lpwstr>
  </property>
  <property fmtid="{D5CDD505-2E9C-101B-9397-08002B2CF9AE}" pid="4" name="CalculationRule">
    <vt:i4>0</vt:i4>
  </property>
</Properties>
</file>